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comments4.xml" ContentType="application/vnd.openxmlformats-officedocument.spreadsheetml.comments+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bookViews>
  <sheets>
    <sheet name="Benevolence (2)" sheetId="35" r:id="rId1"/>
    <sheet name="Top Sheet" sheetId="9" r:id="rId2"/>
    <sheet name="Dec Council Meeting" sheetId="34" r:id="rId3"/>
    <sheet name="Summary New Year" sheetId="20" r:id="rId4"/>
    <sheet name="New Year-Full Year" sheetId="1" r:id="rId5"/>
    <sheet name="Options" sheetId="33" r:id="rId6"/>
    <sheet name="Benevolence" sheetId="31" r:id="rId7"/>
    <sheet name="Pastor" sheetId="21" r:id="rId8"/>
    <sheet name="Comparison" sheetId="32" r:id="rId9"/>
    <sheet name="Assoc. Pastor" sheetId="29" r:id="rId10"/>
    <sheet name="Band and Other Music" sheetId="22" r:id="rId11"/>
    <sheet name="Rates" sheetId="24" r:id="rId12"/>
    <sheet name="Pie Chart" sheetId="27" r:id="rId13"/>
    <sheet name="Expenses" sheetId="28" r:id="rId14"/>
  </sheets>
  <externalReferences>
    <externalReference r:id="rId15"/>
  </externalReferences>
  <definedNames>
    <definedName name="Bud_Yr">'Top Sheet'!$C$2</definedName>
    <definedName name="dddd" localSheetId="9">#REF!</definedName>
    <definedName name="dddd" localSheetId="0">#REF!</definedName>
    <definedName name="dddd">#REF!</definedName>
    <definedName name="_xlnm.Print_Titles" localSheetId="13">Expenses!$2:$4</definedName>
    <definedName name="_xlnm.Print_Titles" localSheetId="4">'New Year-Full Year'!$2:$4</definedName>
    <definedName name="_xlnm.Print_Titles" localSheetId="3">'Summary New Year'!$1:$5</definedName>
  </definedNames>
  <calcPr calcId="124519"/>
</workbook>
</file>

<file path=xl/calcChain.xml><?xml version="1.0" encoding="utf-8"?>
<calcChain xmlns="http://schemas.openxmlformats.org/spreadsheetml/2006/main">
  <c r="D14" i="35"/>
  <c r="D12"/>
  <c r="D11"/>
  <c r="C11"/>
  <c r="F11" s="1"/>
  <c r="D10"/>
  <c r="D8"/>
  <c r="G7"/>
  <c r="D7"/>
  <c r="D6"/>
  <c r="C6"/>
  <c r="F6" s="1"/>
  <c r="F4"/>
  <c r="E4"/>
  <c r="C4"/>
  <c r="C13" i="31"/>
  <c r="C9"/>
  <c r="C8"/>
  <c r="C6"/>
  <c r="D6"/>
  <c r="E7"/>
  <c r="D7" s="1"/>
  <c r="E8"/>
  <c r="D8" s="1"/>
  <c r="E9"/>
  <c r="D9" s="1"/>
  <c r="E10"/>
  <c r="D10" s="1"/>
  <c r="E11"/>
  <c r="C11" s="1"/>
  <c r="E12"/>
  <c r="D12" s="1"/>
  <c r="E13"/>
  <c r="D13" s="1"/>
  <c r="E14"/>
  <c r="D14" s="1"/>
  <c r="E6"/>
  <c r="P108" i="1"/>
  <c r="J13" i="34"/>
  <c r="J10"/>
  <c r="C14"/>
  <c r="E7"/>
  <c r="E13" s="1"/>
  <c r="V108" i="1"/>
  <c r="U108"/>
  <c r="U18"/>
  <c r="P196"/>
  <c r="D11" i="31" l="1"/>
  <c r="D15" s="1"/>
  <c r="C14"/>
  <c r="C12"/>
  <c r="C10"/>
  <c r="G6" i="35"/>
  <c r="G11"/>
  <c r="F7"/>
  <c r="D9"/>
  <c r="D15" s="1"/>
  <c r="C10"/>
  <c r="F10" s="1"/>
  <c r="D13"/>
  <c r="C14"/>
  <c r="F14" s="1"/>
  <c r="C9"/>
  <c r="F9" s="1"/>
  <c r="C13"/>
  <c r="F13" s="1"/>
  <c r="E15"/>
  <c r="C8"/>
  <c r="F8" s="1"/>
  <c r="C12"/>
  <c r="F12" s="1"/>
  <c r="E11" i="34"/>
  <c r="E14" s="1"/>
  <c r="I11" i="21"/>
  <c r="I7"/>
  <c r="I4"/>
  <c r="G13" i="35" l="1"/>
  <c r="F15"/>
  <c r="G14"/>
  <c r="G9"/>
  <c r="G10"/>
  <c r="C15"/>
  <c r="G8"/>
  <c r="G12"/>
  <c r="AH160" i="1"/>
  <c r="AI160"/>
  <c r="AJ160"/>
  <c r="AK117"/>
  <c r="J76" i="20"/>
  <c r="K76"/>
  <c r="P102" i="1"/>
  <c r="E28" i="29"/>
  <c r="E14"/>
  <c r="Q163" i="1"/>
  <c r="Q150" l="1"/>
  <c r="D62" i="22"/>
  <c r="D57"/>
  <c r="D60" s="1"/>
  <c r="D55"/>
  <c r="D49"/>
  <c r="D46"/>
  <c r="D44"/>
  <c r="D52" s="1"/>
  <c r="D37"/>
  <c r="D36"/>
  <c r="D34"/>
  <c r="D39" s="1"/>
  <c r="D42" s="1"/>
  <c r="D28"/>
  <c r="D29"/>
  <c r="D17"/>
  <c r="D20"/>
  <c r="D21"/>
  <c r="D23" s="1"/>
  <c r="D22"/>
  <c r="E13"/>
  <c r="V29" i="1"/>
  <c r="U29"/>
  <c r="Q171"/>
  <c r="Q154"/>
  <c r="Q153"/>
  <c r="Q152"/>
  <c r="P130"/>
  <c r="P129"/>
  <c r="P128"/>
  <c r="P127"/>
  <c r="P122"/>
  <c r="Q130"/>
  <c r="Q129"/>
  <c r="Q128"/>
  <c r="Q127"/>
  <c r="Q126"/>
  <c r="Q125"/>
  <c r="Q124"/>
  <c r="Q123"/>
  <c r="Q122"/>
  <c r="Q121"/>
  <c r="P117"/>
  <c r="P116"/>
  <c r="P115"/>
  <c r="P109"/>
  <c r="Q117"/>
  <c r="Q116"/>
  <c r="Q115"/>
  <c r="Q109"/>
  <c r="K6" i="21"/>
  <c r="K64"/>
  <c r="K63"/>
  <c r="K52"/>
  <c r="K36"/>
  <c r="K30"/>
  <c r="K32" s="1"/>
  <c r="K15"/>
  <c r="Q43" i="1"/>
  <c r="E12" i="29"/>
  <c r="P6" i="21"/>
  <c r="L4"/>
  <c r="M6"/>
  <c r="N6"/>
  <c r="O6"/>
  <c r="O64"/>
  <c r="O63"/>
  <c r="O52"/>
  <c r="O36"/>
  <c r="O30"/>
  <c r="O32" s="1"/>
  <c r="O15"/>
  <c r="P63"/>
  <c r="P64" s="1"/>
  <c r="N63"/>
  <c r="N64" s="1"/>
  <c r="M63"/>
  <c r="M64" s="1"/>
  <c r="L63"/>
  <c r="L64" s="1"/>
  <c r="P52"/>
  <c r="N52"/>
  <c r="M52"/>
  <c r="L52"/>
  <c r="P36"/>
  <c r="N36"/>
  <c r="M36"/>
  <c r="L36"/>
  <c r="P30"/>
  <c r="P37" s="1"/>
  <c r="P42" s="1"/>
  <c r="N30"/>
  <c r="N37" s="1"/>
  <c r="N42" s="1"/>
  <c r="M30"/>
  <c r="M37" s="1"/>
  <c r="M42" s="1"/>
  <c r="L30"/>
  <c r="L37" s="1"/>
  <c r="L42" s="1"/>
  <c r="P15"/>
  <c r="N15"/>
  <c r="M15"/>
  <c r="L15"/>
  <c r="F16" i="32"/>
  <c r="C12"/>
  <c r="C13" s="1"/>
  <c r="F13"/>
  <c r="F12"/>
  <c r="G12"/>
  <c r="G13" s="1"/>
  <c r="G9"/>
  <c r="G6"/>
  <c r="G4"/>
  <c r="D13"/>
  <c r="D10"/>
  <c r="D7"/>
  <c r="D4"/>
  <c r="F4"/>
  <c r="C4"/>
  <c r="D44" i="29"/>
  <c r="C44"/>
  <c r="C21"/>
  <c r="D21"/>
  <c r="E19"/>
  <c r="D53" i="22" l="1"/>
  <c r="D30"/>
  <c r="K37" i="21"/>
  <c r="K42" s="1"/>
  <c r="O37"/>
  <c r="O42" s="1"/>
  <c r="M32"/>
  <c r="P32"/>
  <c r="L32"/>
  <c r="N32"/>
  <c r="C6" i="32"/>
  <c r="C7" s="1"/>
  <c r="E38" i="29"/>
  <c r="E21" s="1"/>
  <c r="E23" s="1"/>
  <c r="P121" i="1" s="1"/>
  <c r="E34" i="29"/>
  <c r="U43" i="1"/>
  <c r="V43"/>
  <c r="W38"/>
  <c r="S38"/>
  <c r="R38"/>
  <c r="W37"/>
  <c r="S37"/>
  <c r="R37"/>
  <c r="W36"/>
  <c r="S36"/>
  <c r="R36"/>
  <c r="W35"/>
  <c r="S35"/>
  <c r="R35"/>
  <c r="W34"/>
  <c r="S34"/>
  <c r="R34"/>
  <c r="W33"/>
  <c r="S33"/>
  <c r="R33"/>
  <c r="W32"/>
  <c r="S32"/>
  <c r="R32"/>
  <c r="W31"/>
  <c r="S31"/>
  <c r="R31"/>
  <c r="W30"/>
  <c r="S30"/>
  <c r="R30"/>
  <c r="S29"/>
  <c r="R29"/>
  <c r="W28"/>
  <c r="P28"/>
  <c r="AD98"/>
  <c r="AE98"/>
  <c r="AF98"/>
  <c r="AD100"/>
  <c r="AE100"/>
  <c r="AF100"/>
  <c r="AD101"/>
  <c r="AE101"/>
  <c r="AF101"/>
  <c r="AE97"/>
  <c r="AF97"/>
  <c r="AD97"/>
  <c r="AE96"/>
  <c r="AF96"/>
  <c r="AD96"/>
  <c r="G4" i="20"/>
  <c r="D19" i="29"/>
  <c r="C19"/>
  <c r="D61"/>
  <c r="D60"/>
  <c r="D59"/>
  <c r="D58"/>
  <c r="C32"/>
  <c r="D32" s="1"/>
  <c r="C13"/>
  <c r="D13"/>
  <c r="I63" i="21"/>
  <c r="F6" i="31"/>
  <c r="P7" i="1"/>
  <c r="E15" i="31"/>
  <c r="B117" i="20"/>
  <c r="B116"/>
  <c r="B115"/>
  <c r="B113"/>
  <c r="B112"/>
  <c r="B110"/>
  <c r="B103"/>
  <c r="B102"/>
  <c r="B100"/>
  <c r="B99"/>
  <c r="B92"/>
  <c r="B90"/>
  <c r="B82"/>
  <c r="B81"/>
  <c r="B71"/>
  <c r="B70"/>
  <c r="B63"/>
  <c r="B61"/>
  <c r="B54"/>
  <c r="B52"/>
  <c r="B50"/>
  <c r="B47"/>
  <c r="B45"/>
  <c r="B43"/>
  <c r="B39"/>
  <c r="B37"/>
  <c r="B29"/>
  <c r="B23"/>
  <c r="B22"/>
  <c r="B14"/>
  <c r="B7"/>
  <c r="F8" i="31"/>
  <c r="G8"/>
  <c r="F9"/>
  <c r="G9"/>
  <c r="F10"/>
  <c r="G10"/>
  <c r="F11"/>
  <c r="G11"/>
  <c r="F12"/>
  <c r="G12"/>
  <c r="F13"/>
  <c r="G13"/>
  <c r="F14"/>
  <c r="G14"/>
  <c r="G7"/>
  <c r="F7"/>
  <c r="F4"/>
  <c r="E4"/>
  <c r="C4"/>
  <c r="W161" i="1"/>
  <c r="R28" l="1"/>
  <c r="P43"/>
  <c r="P150"/>
  <c r="C9" i="32"/>
  <c r="C10" s="1"/>
  <c r="E39" i="29"/>
  <c r="E44" s="1"/>
  <c r="W29" i="1"/>
  <c r="S28"/>
  <c r="G6" i="31"/>
  <c r="C15"/>
  <c r="F15"/>
  <c r="I32" i="21"/>
  <c r="P155" i="1"/>
  <c r="C22" i="24" s="1"/>
  <c r="P149" i="1"/>
  <c r="C21" i="24" s="1"/>
  <c r="C4" i="29"/>
  <c r="C5"/>
  <c r="C55" i="22"/>
  <c r="C57" s="1"/>
  <c r="C60" s="1"/>
  <c r="C44"/>
  <c r="C46" s="1"/>
  <c r="C49" s="1"/>
  <c r="C37"/>
  <c r="C36"/>
  <c r="C34"/>
  <c r="C22"/>
  <c r="C28" s="1"/>
  <c r="C20"/>
  <c r="C17"/>
  <c r="I15" i="21"/>
  <c r="G46"/>
  <c r="I36"/>
  <c r="R43" i="1" l="1"/>
  <c r="AD102"/>
  <c r="AF102"/>
  <c r="AE102"/>
  <c r="C52" i="22"/>
  <c r="C53" s="1"/>
  <c r="C21"/>
  <c r="C29" s="1"/>
  <c r="C30" s="1"/>
  <c r="C39"/>
  <c r="C42" s="1"/>
  <c r="G15" i="21"/>
  <c r="C6" i="29"/>
  <c r="R122" i="1"/>
  <c r="C54" i="29"/>
  <c r="C12"/>
  <c r="C42" i="24"/>
  <c r="C41"/>
  <c r="C38"/>
  <c r="C37"/>
  <c r="C36"/>
  <c r="C35"/>
  <c r="C32"/>
  <c r="C31"/>
  <c r="C28"/>
  <c r="C27"/>
  <c r="C26"/>
  <c r="C25"/>
  <c r="C20"/>
  <c r="W125" i="1"/>
  <c r="S125"/>
  <c r="R125"/>
  <c r="W130"/>
  <c r="S130"/>
  <c r="V131"/>
  <c r="U131"/>
  <c r="Q131"/>
  <c r="AJ129"/>
  <c r="AI129"/>
  <c r="AH129"/>
  <c r="W129"/>
  <c r="S129"/>
  <c r="W128"/>
  <c r="S128"/>
  <c r="W127"/>
  <c r="S127"/>
  <c r="W126"/>
  <c r="W124"/>
  <c r="W123"/>
  <c r="W122"/>
  <c r="S122"/>
  <c r="C23" i="29" l="1"/>
  <c r="C62" i="22"/>
  <c r="C23"/>
  <c r="C63" i="29"/>
  <c r="AH131" i="1"/>
  <c r="D63" i="29"/>
  <c r="R130" i="1"/>
  <c r="R127"/>
  <c r="W121"/>
  <c r="R128"/>
  <c r="R129"/>
  <c r="W131"/>
  <c r="AI131"/>
  <c r="AJ131"/>
  <c r="S121"/>
  <c r="H161"/>
  <c r="F161" s="1"/>
  <c r="E54" i="29"/>
  <c r="D54"/>
  <c r="I64" i="21"/>
  <c r="I52"/>
  <c r="I30"/>
  <c r="C28" i="29" l="1"/>
  <c r="C30" s="1"/>
  <c r="C42" s="1"/>
  <c r="C43" s="1"/>
  <c r="C48" s="1"/>
  <c r="C49" s="1"/>
  <c r="E63"/>
  <c r="I42" i="21"/>
  <c r="I37"/>
  <c r="D23" i="29"/>
  <c r="D28" s="1"/>
  <c r="D12"/>
  <c r="E30" l="1"/>
  <c r="E55" s="1"/>
  <c r="P123" i="1"/>
  <c r="C55" i="29"/>
  <c r="C56" s="1"/>
  <c r="C65" s="1"/>
  <c r="S123" i="1" l="1"/>
  <c r="D7" i="24"/>
  <c r="C7"/>
  <c r="E42" i="29"/>
  <c r="E43" s="1"/>
  <c r="E45" s="1"/>
  <c r="E46" s="1"/>
  <c r="E48"/>
  <c r="P124" i="1" s="1"/>
  <c r="E56" i="29"/>
  <c r="R121" i="1"/>
  <c r="D30" i="29"/>
  <c r="R123" i="1"/>
  <c r="S124" l="1"/>
  <c r="C8" i="24"/>
  <c r="E65" i="29"/>
  <c r="P126" i="1"/>
  <c r="D55" i="29"/>
  <c r="D56" s="1"/>
  <c r="D42"/>
  <c r="D43" s="1"/>
  <c r="D48" s="1"/>
  <c r="R124" i="1" s="1"/>
  <c r="D65" i="29" l="1"/>
  <c r="P131" i="1"/>
  <c r="D49" i="29"/>
  <c r="AE131" i="1" l="1"/>
  <c r="AD131"/>
  <c r="AF131"/>
  <c r="H165"/>
  <c r="F165" s="1"/>
  <c r="Q161"/>
  <c r="AK205"/>
  <c r="AG205"/>
  <c r="AK202"/>
  <c r="AG202"/>
  <c r="AK200"/>
  <c r="AG200"/>
  <c r="AK198"/>
  <c r="AG198"/>
  <c r="AK196"/>
  <c r="AK180"/>
  <c r="AK182"/>
  <c r="AK185"/>
  <c r="AK187"/>
  <c r="AK189"/>
  <c r="AK191"/>
  <c r="AG182"/>
  <c r="AG187"/>
  <c r="AG191"/>
  <c r="AK178"/>
  <c r="AH172"/>
  <c r="AD172"/>
  <c r="AH168"/>
  <c r="AK163"/>
  <c r="AF171"/>
  <c r="AE171"/>
  <c r="AD171"/>
  <c r="AF166"/>
  <c r="AE166"/>
  <c r="AD166"/>
  <c r="AF162"/>
  <c r="AE162"/>
  <c r="AD162"/>
  <c r="AJ158"/>
  <c r="AI158"/>
  <c r="AI171" s="1"/>
  <c r="AH158"/>
  <c r="AH139"/>
  <c r="AI139"/>
  <c r="AJ139"/>
  <c r="AH157"/>
  <c r="AI156"/>
  <c r="AH155"/>
  <c r="AH154"/>
  <c r="AH153"/>
  <c r="AH152"/>
  <c r="AH151"/>
  <c r="AH150"/>
  <c r="AH149"/>
  <c r="AD151"/>
  <c r="AI145"/>
  <c r="AI144"/>
  <c r="AI117"/>
  <c r="AJ117"/>
  <c r="AH117"/>
  <c r="AH102"/>
  <c r="AH101"/>
  <c r="AH100"/>
  <c r="AH98"/>
  <c r="AH97"/>
  <c r="AH96"/>
  <c r="AH91"/>
  <c r="AH90"/>
  <c r="AI89"/>
  <c r="AI87"/>
  <c r="AH86"/>
  <c r="AH85"/>
  <c r="AD91"/>
  <c r="AD90"/>
  <c r="AF89"/>
  <c r="AF87"/>
  <c r="AD86"/>
  <c r="AD85"/>
  <c r="AJ43"/>
  <c r="AH77"/>
  <c r="AH75"/>
  <c r="AD77"/>
  <c r="AD75"/>
  <c r="AJ81"/>
  <c r="AF81"/>
  <c r="AI70"/>
  <c r="AE70"/>
  <c r="AE59"/>
  <c r="AH67"/>
  <c r="AH66"/>
  <c r="AH64"/>
  <c r="AD66"/>
  <c r="AD67"/>
  <c r="AD64"/>
  <c r="AI49"/>
  <c r="AI51"/>
  <c r="AI53"/>
  <c r="AI55"/>
  <c r="AI57"/>
  <c r="AI59"/>
  <c r="AE49"/>
  <c r="AE51"/>
  <c r="AE53"/>
  <c r="AE55"/>
  <c r="AE57"/>
  <c r="AE47"/>
  <c r="AI47"/>
  <c r="AH3"/>
  <c r="AD3"/>
  <c r="C69" i="20"/>
  <c r="E69"/>
  <c r="F69"/>
  <c r="J69"/>
  <c r="K69"/>
  <c r="V103" i="1"/>
  <c r="U103"/>
  <c r="Q103"/>
  <c r="P103"/>
  <c r="W102"/>
  <c r="S102"/>
  <c r="R102"/>
  <c r="C9" i="20"/>
  <c r="E9"/>
  <c r="F9"/>
  <c r="H9" s="1"/>
  <c r="J9"/>
  <c r="K9"/>
  <c r="L9" s="1"/>
  <c r="W10" i="1"/>
  <c r="S10"/>
  <c r="R10"/>
  <c r="C12" i="24"/>
  <c r="R150" i="1"/>
  <c r="W154"/>
  <c r="W150"/>
  <c r="G44" i="22"/>
  <c r="E44"/>
  <c r="E46" s="1"/>
  <c r="E49" s="1"/>
  <c r="E36"/>
  <c r="E37"/>
  <c r="E20"/>
  <c r="E7"/>
  <c r="E15" s="1"/>
  <c r="E17" s="1"/>
  <c r="C105" i="20"/>
  <c r="E105"/>
  <c r="F105"/>
  <c r="H105" s="1"/>
  <c r="J105"/>
  <c r="K105"/>
  <c r="L105" s="1"/>
  <c r="P161" i="1"/>
  <c r="W137"/>
  <c r="G63" i="21"/>
  <c r="W138" i="1"/>
  <c r="S138"/>
  <c r="R138"/>
  <c r="W136"/>
  <c r="S136"/>
  <c r="R136"/>
  <c r="W135"/>
  <c r="S135"/>
  <c r="R135"/>
  <c r="AG161" l="1"/>
  <c r="AF161"/>
  <c r="AE161"/>
  <c r="AD161"/>
  <c r="AH167"/>
  <c r="AJ169"/>
  <c r="H69" i="20"/>
  <c r="L69"/>
  <c r="S137" i="1"/>
  <c r="C7" i="29"/>
  <c r="AG189" i="1"/>
  <c r="C8" i="29"/>
  <c r="G69" i="20"/>
  <c r="G9"/>
  <c r="G105"/>
  <c r="AH166" i="1"/>
  <c r="R126"/>
  <c r="R131" s="1"/>
  <c r="S126"/>
  <c r="AI169"/>
  <c r="AI161"/>
  <c r="AI166"/>
  <c r="C15" i="24"/>
  <c r="AH161" i="1"/>
  <c r="AH171"/>
  <c r="AH169"/>
  <c r="E52" i="22"/>
  <c r="E53" s="1"/>
  <c r="P153" i="1" s="1"/>
  <c r="AD153" s="1"/>
  <c r="R137"/>
  <c r="AJ162"/>
  <c r="AJ167"/>
  <c r="AI170"/>
  <c r="AJ170"/>
  <c r="AI162"/>
  <c r="AI167"/>
  <c r="AH170"/>
  <c r="AJ171"/>
  <c r="AJ161"/>
  <c r="AH162"/>
  <c r="AJ166"/>
  <c r="AD150"/>
  <c r="S150"/>
  <c r="E22" i="22"/>
  <c r="E28" s="1"/>
  <c r="E21"/>
  <c r="E29" s="1"/>
  <c r="E55"/>
  <c r="E57" s="1"/>
  <c r="E60" s="1"/>
  <c r="P168" i="1" s="1"/>
  <c r="AD168" s="1"/>
  <c r="E32" i="22"/>
  <c r="E34" s="1"/>
  <c r="E39" s="1"/>
  <c r="E42" s="1"/>
  <c r="P154" i="1" s="1"/>
  <c r="R154" s="1"/>
  <c r="G32" i="21"/>
  <c r="G37" s="1"/>
  <c r="G30"/>
  <c r="D30"/>
  <c r="W116" i="1"/>
  <c r="H64" i="21"/>
  <c r="D64"/>
  <c r="E64"/>
  <c r="F64"/>
  <c r="G64"/>
  <c r="C64"/>
  <c r="H63"/>
  <c r="H43"/>
  <c r="H18"/>
  <c r="H52"/>
  <c r="E4"/>
  <c r="E52"/>
  <c r="E28"/>
  <c r="E30" s="1"/>
  <c r="E32" s="1"/>
  <c r="E15"/>
  <c r="D54"/>
  <c r="D52"/>
  <c r="F52"/>
  <c r="G52"/>
  <c r="C52"/>
  <c r="C9" i="29" l="1"/>
  <c r="C67" s="1"/>
  <c r="S131" i="1"/>
  <c r="AD154"/>
  <c r="S154"/>
  <c r="E23" i="22"/>
  <c r="E30"/>
  <c r="R116" i="1"/>
  <c r="S116"/>
  <c r="E37" i="21"/>
  <c r="D37"/>
  <c r="D55" s="1"/>
  <c r="D6"/>
  <c r="D9"/>
  <c r="D15"/>
  <c r="C15"/>
  <c r="F15"/>
  <c r="F28"/>
  <c r="F30" s="1"/>
  <c r="F32" s="1"/>
  <c r="G42"/>
  <c r="C9"/>
  <c r="C28" s="1"/>
  <c r="C30" s="1"/>
  <c r="C32" s="1"/>
  <c r="B6"/>
  <c r="AE156" i="1"/>
  <c r="AG196"/>
  <c r="AG185"/>
  <c r="AG180"/>
  <c r="AG178"/>
  <c r="Q169"/>
  <c r="H169"/>
  <c r="M157"/>
  <c r="N157" s="1"/>
  <c r="O157" s="1"/>
  <c r="I157"/>
  <c r="E157"/>
  <c r="W215"/>
  <c r="S215"/>
  <c r="R215"/>
  <c r="L161"/>
  <c r="W162"/>
  <c r="S162"/>
  <c r="R162"/>
  <c r="P152" l="1"/>
  <c r="AD152" s="1"/>
  <c r="E62" i="22"/>
  <c r="D42" i="21"/>
  <c r="H23"/>
  <c r="H25" s="1"/>
  <c r="F37"/>
  <c r="F54"/>
  <c r="E42"/>
  <c r="E55"/>
  <c r="C37"/>
  <c r="C54"/>
  <c r="B7"/>
  <c r="S161" i="1"/>
  <c r="K108" i="20"/>
  <c r="J108"/>
  <c r="F108"/>
  <c r="E108"/>
  <c r="E63" i="22" l="1"/>
  <c r="E64" s="1"/>
  <c r="G108" i="20"/>
  <c r="L108"/>
  <c r="H53" i="21"/>
  <c r="H56" s="1"/>
  <c r="H57" s="1"/>
  <c r="H66" s="1"/>
  <c r="G4"/>
  <c r="G7" s="1"/>
  <c r="G12" s="1"/>
  <c r="I12" s="1"/>
  <c r="C4"/>
  <c r="C7" s="1"/>
  <c r="D4"/>
  <c r="D7" s="1"/>
  <c r="D12" s="1"/>
  <c r="C42"/>
  <c r="C55"/>
  <c r="F42"/>
  <c r="F55"/>
  <c r="H108" i="20"/>
  <c r="R161" i="1"/>
  <c r="L12" i="21" l="1"/>
  <c r="I18"/>
  <c r="Q108" i="1" s="1"/>
  <c r="D18" i="21"/>
  <c r="D23" s="1"/>
  <c r="D25" s="1"/>
  <c r="G18"/>
  <c r="C12"/>
  <c r="C18" s="1"/>
  <c r="F12"/>
  <c r="F18" s="1"/>
  <c r="P4" l="1"/>
  <c r="M4"/>
  <c r="M7" s="1"/>
  <c r="M12" s="1"/>
  <c r="N4"/>
  <c r="N7" s="1"/>
  <c r="O4"/>
  <c r="O7" s="1"/>
  <c r="O12" s="1"/>
  <c r="I23"/>
  <c r="Q110" i="1" s="1"/>
  <c r="L18" i="21"/>
  <c r="D40"/>
  <c r="D41" s="1"/>
  <c r="D53"/>
  <c r="D56" s="1"/>
  <c r="D57" s="1"/>
  <c r="G23"/>
  <c r="C23"/>
  <c r="C25" s="1"/>
  <c r="F23"/>
  <c r="F25" s="1"/>
  <c r="W169" i="1"/>
  <c r="P7" i="21" l="1"/>
  <c r="P12" s="1"/>
  <c r="P18" s="1"/>
  <c r="P23" s="1"/>
  <c r="P25" s="1"/>
  <c r="K4"/>
  <c r="K7" s="1"/>
  <c r="K12" s="1"/>
  <c r="M11"/>
  <c r="M18"/>
  <c r="M23" s="1"/>
  <c r="M25" s="1"/>
  <c r="O18"/>
  <c r="O23" s="1"/>
  <c r="O25" s="1"/>
  <c r="L11"/>
  <c r="L23"/>
  <c r="L25" s="1"/>
  <c r="D66"/>
  <c r="D70" s="1"/>
  <c r="I25"/>
  <c r="I46" s="1"/>
  <c r="G25"/>
  <c r="G53" s="1"/>
  <c r="G56" s="1"/>
  <c r="G57" s="1"/>
  <c r="D43"/>
  <c r="D44" s="1"/>
  <c r="D45" s="1"/>
  <c r="F40"/>
  <c r="F41" s="1"/>
  <c r="F43" s="1"/>
  <c r="F66" s="1"/>
  <c r="F70" s="1"/>
  <c r="F53"/>
  <c r="F56" s="1"/>
  <c r="F57" s="1"/>
  <c r="C40"/>
  <c r="C41" s="1"/>
  <c r="C43" s="1"/>
  <c r="C53"/>
  <c r="C56" s="1"/>
  <c r="C57" s="1"/>
  <c r="V140" i="1"/>
  <c r="K78" i="20" s="1"/>
  <c r="U140" i="1"/>
  <c r="J78" i="20" s="1"/>
  <c r="Q140" i="1"/>
  <c r="F78" i="20" s="1"/>
  <c r="P140" i="1"/>
  <c r="AF140" l="1"/>
  <c r="AE140"/>
  <c r="AD140"/>
  <c r="E78" i="20"/>
  <c r="G78" s="1"/>
  <c r="K18" i="21"/>
  <c r="K11"/>
  <c r="P11"/>
  <c r="O40"/>
  <c r="O41" s="1"/>
  <c r="O43" s="1"/>
  <c r="O44" s="1"/>
  <c r="O53"/>
  <c r="O56" s="1"/>
  <c r="O57" s="1"/>
  <c r="O46"/>
  <c r="P40"/>
  <c r="P41" s="1"/>
  <c r="P43" s="1"/>
  <c r="P44" s="1"/>
  <c r="P46"/>
  <c r="P53"/>
  <c r="P56" s="1"/>
  <c r="P57" s="1"/>
  <c r="M53"/>
  <c r="M56" s="1"/>
  <c r="M57" s="1"/>
  <c r="M40"/>
  <c r="M41" s="1"/>
  <c r="M43" s="1"/>
  <c r="M44" s="1"/>
  <c r="M46"/>
  <c r="L53"/>
  <c r="L56" s="1"/>
  <c r="L57" s="1"/>
  <c r="L40"/>
  <c r="L41" s="1"/>
  <c r="L43" s="1"/>
  <c r="L44" s="1"/>
  <c r="L46"/>
  <c r="H78" i="20"/>
  <c r="I40" i="21"/>
  <c r="I41" s="1"/>
  <c r="I43" s="1"/>
  <c r="Q112" i="1" s="1"/>
  <c r="I53" i="21"/>
  <c r="I56" s="1"/>
  <c r="I57" s="1"/>
  <c r="Q114" i="1" s="1"/>
  <c r="C66" i="21"/>
  <c r="C70" s="1"/>
  <c r="AH140" i="1"/>
  <c r="AI140"/>
  <c r="AJ140"/>
  <c r="G40" i="21"/>
  <c r="C44"/>
  <c r="C45" s="1"/>
  <c r="F44"/>
  <c r="F45" s="1"/>
  <c r="W218" i="1"/>
  <c r="S218"/>
  <c r="W112"/>
  <c r="S113"/>
  <c r="W111"/>
  <c r="S111"/>
  <c r="R111"/>
  <c r="K23" i="21" l="1"/>
  <c r="M66"/>
  <c r="P66"/>
  <c r="O66"/>
  <c r="L67" s="1"/>
  <c r="L68" s="1"/>
  <c r="L66"/>
  <c r="I44"/>
  <c r="I66"/>
  <c r="G41"/>
  <c r="G43" s="1"/>
  <c r="W113" i="1"/>
  <c r="R218"/>
  <c r="R113"/>
  <c r="M67" i="21" l="1"/>
  <c r="M68" s="1"/>
  <c r="P67"/>
  <c r="P68" s="1"/>
  <c r="K25"/>
  <c r="P110" i="1"/>
  <c r="G66" i="21"/>
  <c r="G44"/>
  <c r="AE144" i="1"/>
  <c r="L165"/>
  <c r="X165" s="1"/>
  <c r="L164"/>
  <c r="L163"/>
  <c r="L169"/>
  <c r="H164"/>
  <c r="F164" s="1"/>
  <c r="H163"/>
  <c r="F163" s="1"/>
  <c r="L145"/>
  <c r="F145"/>
  <c r="D5" i="24" l="1"/>
  <c r="C5"/>
  <c r="K46" i="21"/>
  <c r="K53"/>
  <c r="K56" s="1"/>
  <c r="K57" s="1"/>
  <c r="P114" i="1" s="1"/>
  <c r="K40" i="21"/>
  <c r="K41" s="1"/>
  <c r="K43" s="1"/>
  <c r="X163" i="1"/>
  <c r="C11" i="24"/>
  <c r="X145" i="1"/>
  <c r="I67" i="21"/>
  <c r="I68" s="1"/>
  <c r="X164" i="1"/>
  <c r="C14" i="24"/>
  <c r="C13"/>
  <c r="AE145" i="1"/>
  <c r="P163"/>
  <c r="F169"/>
  <c r="C16" i="24" s="1"/>
  <c r="M103" i="1"/>
  <c r="I103"/>
  <c r="E103"/>
  <c r="X4"/>
  <c r="U2"/>
  <c r="R3"/>
  <c r="Q3"/>
  <c r="P3"/>
  <c r="K44" i="21" l="1"/>
  <c r="P112" i="1"/>
  <c r="R112" s="1"/>
  <c r="K66" i="21"/>
  <c r="K67" s="1"/>
  <c r="K68" s="1"/>
  <c r="AG163" i="1"/>
  <c r="P169"/>
  <c r="G109" s="1"/>
  <c r="X169"/>
  <c r="W153"/>
  <c r="S153"/>
  <c r="S112" l="1"/>
  <c r="C6" i="24"/>
  <c r="P118" i="1"/>
  <c r="AF169"/>
  <c r="AE169"/>
  <c r="AD169"/>
  <c r="R153"/>
  <c r="AF118" l="1"/>
  <c r="AE118"/>
  <c r="AD118"/>
  <c r="AG118"/>
  <c r="AG222" s="1"/>
  <c r="S169"/>
  <c r="R169"/>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6"/>
  <c r="C107"/>
  <c r="C109"/>
  <c r="C104"/>
  <c r="P157" i="1"/>
  <c r="AD157" s="1"/>
  <c r="AD155"/>
  <c r="AD149"/>
  <c r="G110" l="1"/>
  <c r="G111" s="1"/>
  <c r="W214"/>
  <c r="Q220" l="1"/>
  <c r="K104" i="20" l="1"/>
  <c r="J104"/>
  <c r="F104"/>
  <c r="S214" i="1"/>
  <c r="E104" i="20" l="1"/>
  <c r="G104" s="1"/>
  <c r="R214" i="1"/>
  <c r="Q40" l="1"/>
  <c r="Q41"/>
  <c r="Q193"/>
  <c r="Q209"/>
  <c r="Q158"/>
  <c r="F75" i="20" s="1"/>
  <c r="Q118" i="1"/>
  <c r="Q146"/>
  <c r="Q93"/>
  <c r="Q79"/>
  <c r="Q68"/>
  <c r="Q170" l="1"/>
  <c r="Q210"/>
  <c r="J3" i="20"/>
  <c r="Q173" i="1" l="1"/>
  <c r="Q174" s="1"/>
  <c r="F76" i="20"/>
  <c r="F79" s="1"/>
  <c r="K11"/>
  <c r="K12"/>
  <c r="J11"/>
  <c r="J12"/>
  <c r="E59"/>
  <c r="F59"/>
  <c r="J59"/>
  <c r="K59"/>
  <c r="G59" l="1"/>
  <c r="H59"/>
  <c r="L59"/>
  <c r="W90" i="1"/>
  <c r="S90"/>
  <c r="R90" l="1"/>
  <c r="E35" i="20" l="1"/>
  <c r="F35"/>
  <c r="J35"/>
  <c r="K35"/>
  <c r="G35" l="1"/>
  <c r="L35"/>
  <c r="H35"/>
  <c r="R219" i="1"/>
  <c r="R217"/>
  <c r="R216"/>
  <c r="R208"/>
  <c r="R205"/>
  <c r="R202"/>
  <c r="R200"/>
  <c r="R198"/>
  <c r="R196"/>
  <c r="R191"/>
  <c r="R189"/>
  <c r="R187"/>
  <c r="R185"/>
  <c r="R182"/>
  <c r="R180"/>
  <c r="R178"/>
  <c r="R172"/>
  <c r="R168"/>
  <c r="R166"/>
  <c r="R157"/>
  <c r="R156"/>
  <c r="R151"/>
  <c r="R149"/>
  <c r="R145"/>
  <c r="R139"/>
  <c r="R134"/>
  <c r="R117"/>
  <c r="R115"/>
  <c r="R114"/>
  <c r="R110"/>
  <c r="R109"/>
  <c r="R108"/>
  <c r="R98"/>
  <c r="R97"/>
  <c r="R96"/>
  <c r="R89"/>
  <c r="R87"/>
  <c r="R81"/>
  <c r="R77"/>
  <c r="R75"/>
  <c r="R70"/>
  <c r="R66"/>
  <c r="R64"/>
  <c r="R57"/>
  <c r="R55"/>
  <c r="R53"/>
  <c r="R51"/>
  <c r="R49"/>
  <c r="R140" l="1"/>
  <c r="R193"/>
  <c r="R209"/>
  <c r="R79"/>
  <c r="R220"/>
  <c r="R118"/>
  <c r="R210" l="1"/>
  <c r="S57" l="1"/>
  <c r="W57"/>
  <c r="F4" i="20" l="1"/>
  <c r="E4"/>
  <c r="K4"/>
  <c r="J4"/>
  <c r="W70" i="1"/>
  <c r="S70"/>
  <c r="K45" i="20"/>
  <c r="J45"/>
  <c r="F45"/>
  <c r="E45"/>
  <c r="G45" l="1"/>
  <c r="H45"/>
  <c r="L45"/>
  <c r="K109" l="1"/>
  <c r="K106"/>
  <c r="K98"/>
  <c r="K97"/>
  <c r="K96"/>
  <c r="K95"/>
  <c r="K94"/>
  <c r="K93"/>
  <c r="K89"/>
  <c r="K88"/>
  <c r="K87"/>
  <c r="K86"/>
  <c r="K85"/>
  <c r="K84"/>
  <c r="K83"/>
  <c r="K68"/>
  <c r="K67"/>
  <c r="K66"/>
  <c r="K65"/>
  <c r="K64"/>
  <c r="K60"/>
  <c r="K58"/>
  <c r="K57"/>
  <c r="K52"/>
  <c r="K49"/>
  <c r="K48"/>
  <c r="K42"/>
  <c r="K41"/>
  <c r="K40"/>
  <c r="K36"/>
  <c r="K34"/>
  <c r="K32"/>
  <c r="K31"/>
  <c r="K30"/>
  <c r="K26"/>
  <c r="K17"/>
  <c r="K13"/>
  <c r="K10"/>
  <c r="K8"/>
  <c r="J107"/>
  <c r="J106"/>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115" i="1"/>
  <c r="S115"/>
  <c r="J70" i="20" l="1"/>
  <c r="K70"/>
  <c r="K50"/>
  <c r="J90"/>
  <c r="J37"/>
  <c r="J14"/>
  <c r="J43"/>
  <c r="K90"/>
  <c r="K99"/>
  <c r="J50"/>
  <c r="J99"/>
  <c r="K14"/>
  <c r="K43"/>
  <c r="J100" l="1"/>
  <c r="K100"/>
  <c r="R100" i="1"/>
  <c r="R101"/>
  <c r="R86"/>
  <c r="R91"/>
  <c r="R85"/>
  <c r="R67"/>
  <c r="R59"/>
  <c r="W110"/>
  <c r="S110"/>
  <c r="R103" l="1"/>
  <c r="R68"/>
  <c r="R93"/>
  <c r="F31" i="20"/>
  <c r="F32"/>
  <c r="F33"/>
  <c r="F34"/>
  <c r="F36"/>
  <c r="F40"/>
  <c r="F41"/>
  <c r="F42"/>
  <c r="F48"/>
  <c r="F49"/>
  <c r="F52"/>
  <c r="F55"/>
  <c r="F56"/>
  <c r="F57"/>
  <c r="F58"/>
  <c r="F60"/>
  <c r="F64"/>
  <c r="F65"/>
  <c r="F66"/>
  <c r="F67"/>
  <c r="F68"/>
  <c r="F83"/>
  <c r="F84"/>
  <c r="F85"/>
  <c r="F86"/>
  <c r="F87"/>
  <c r="F88"/>
  <c r="F89"/>
  <c r="F93"/>
  <c r="F94"/>
  <c r="F95"/>
  <c r="F96"/>
  <c r="F97"/>
  <c r="F98"/>
  <c r="F106"/>
  <c r="F107"/>
  <c r="F109"/>
  <c r="F17"/>
  <c r="P167" i="1"/>
  <c r="AD167" l="1"/>
  <c r="AE167"/>
  <c r="AF167"/>
  <c r="F70" i="20"/>
  <c r="R167" i="1"/>
  <c r="F43" i="20"/>
  <c r="F110"/>
  <c r="F61"/>
  <c r="F50"/>
  <c r="F90"/>
  <c r="F99"/>
  <c r="F100" l="1"/>
  <c r="E109" l="1"/>
  <c r="H109" s="1"/>
  <c r="E107"/>
  <c r="E106"/>
  <c r="G106"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90" s="1"/>
  <c r="G50"/>
  <c r="G70"/>
  <c r="G99"/>
  <c r="H107"/>
  <c r="G107"/>
  <c r="G110" s="1"/>
  <c r="E70"/>
  <c r="E50"/>
  <c r="H42"/>
  <c r="H56"/>
  <c r="L13"/>
  <c r="H96"/>
  <c r="H84"/>
  <c r="H88"/>
  <c r="H40"/>
  <c r="H41"/>
  <c r="H60"/>
  <c r="H106"/>
  <c r="E90"/>
  <c r="E110"/>
  <c r="H94"/>
  <c r="H85"/>
  <c r="H89"/>
  <c r="H95"/>
  <c r="H93"/>
  <c r="H97"/>
  <c r="H87"/>
  <c r="H31"/>
  <c r="H36"/>
  <c r="H67"/>
  <c r="H52"/>
  <c r="H32"/>
  <c r="H58"/>
  <c r="H68"/>
  <c r="L32"/>
  <c r="H49"/>
  <c r="H65"/>
  <c r="E43"/>
  <c r="H66"/>
  <c r="H34"/>
  <c r="H33"/>
  <c r="L10"/>
  <c r="H104"/>
  <c r="H48"/>
  <c r="L89"/>
  <c r="L34"/>
  <c r="H55"/>
  <c r="H83"/>
  <c r="H64"/>
  <c r="E57"/>
  <c r="H57" l="1"/>
  <c r="G57"/>
  <c r="G61" s="1"/>
  <c r="G100"/>
  <c r="H50"/>
  <c r="H110"/>
  <c r="E61"/>
  <c r="H70"/>
  <c r="H43"/>
  <c r="H90"/>
  <c r="H61" l="1"/>
  <c r="E98" l="1"/>
  <c r="E99" l="1"/>
  <c r="E100" s="1"/>
  <c r="H100" s="1"/>
  <c r="H98"/>
  <c r="W168" i="1"/>
  <c r="S168"/>
  <c r="H99" i="20" l="1"/>
  <c r="H144" i="1"/>
  <c r="E17" i="20" l="1"/>
  <c r="R18" i="1"/>
  <c r="H17" i="20" l="1"/>
  <c r="G17"/>
  <c r="R163" i="1"/>
  <c r="R155" l="1"/>
  <c r="R152"/>
  <c r="R158" l="1"/>
  <c r="R144"/>
  <c r="R146" s="1"/>
  <c r="P41" l="1"/>
  <c r="R41" s="1"/>
  <c r="P40"/>
  <c r="R40" s="1"/>
  <c r="L11" i="20" l="1"/>
  <c r="L57"/>
  <c r="L26"/>
  <c r="K55"/>
  <c r="K56"/>
  <c r="K107"/>
  <c r="L107" s="1"/>
  <c r="J55"/>
  <c r="J56"/>
  <c r="J19"/>
  <c r="J22" s="1"/>
  <c r="J23" s="1"/>
  <c r="J115" s="1"/>
  <c r="J109"/>
  <c r="L109" s="1"/>
  <c r="L56" l="1"/>
  <c r="J110"/>
  <c r="J61"/>
  <c r="J71" s="1"/>
  <c r="K61"/>
  <c r="L55"/>
  <c r="K110"/>
  <c r="L104"/>
  <c r="L8"/>
  <c r="L14"/>
  <c r="L106" l="1"/>
  <c r="L110"/>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5"/>
  <c r="L115" s="1"/>
  <c r="L43"/>
  <c r="L71"/>
  <c r="V79" i="1" l="1"/>
  <c r="U79"/>
  <c r="P79"/>
  <c r="W77"/>
  <c r="S77"/>
  <c r="W75"/>
  <c r="S75"/>
  <c r="W79" l="1"/>
  <c r="S79"/>
  <c r="S219" l="1"/>
  <c r="S217"/>
  <c r="S216"/>
  <c r="S208"/>
  <c r="S205"/>
  <c r="S202"/>
  <c r="S200"/>
  <c r="S198"/>
  <c r="S196"/>
  <c r="S191"/>
  <c r="S189"/>
  <c r="S187"/>
  <c r="S185"/>
  <c r="S182"/>
  <c r="S180"/>
  <c r="S178"/>
  <c r="S172"/>
  <c r="S167"/>
  <c r="S166"/>
  <c r="S163"/>
  <c r="S157"/>
  <c r="S152"/>
  <c r="S151"/>
  <c r="S149"/>
  <c r="S145"/>
  <c r="S144"/>
  <c r="S139"/>
  <c r="S134"/>
  <c r="S117"/>
  <c r="S109"/>
  <c r="S101"/>
  <c r="S100"/>
  <c r="S98"/>
  <c r="S97"/>
  <c r="S96"/>
  <c r="S91"/>
  <c r="S89"/>
  <c r="S87"/>
  <c r="S86"/>
  <c r="S85"/>
  <c r="S81"/>
  <c r="S67"/>
  <c r="S66"/>
  <c r="S64"/>
  <c r="S59"/>
  <c r="S55"/>
  <c r="S53"/>
  <c r="S51"/>
  <c r="S49"/>
  <c r="S18"/>
  <c r="W7"/>
  <c r="W219"/>
  <c r="W217"/>
  <c r="W216"/>
  <c r="W208"/>
  <c r="W205"/>
  <c r="W202"/>
  <c r="W200"/>
  <c r="W198"/>
  <c r="W196"/>
  <c r="W191"/>
  <c r="W189"/>
  <c r="W187"/>
  <c r="W185"/>
  <c r="W182"/>
  <c r="W180"/>
  <c r="W178"/>
  <c r="W172"/>
  <c r="W171"/>
  <c r="W170"/>
  <c r="W167"/>
  <c r="W166"/>
  <c r="W163"/>
  <c r="W157"/>
  <c r="W152"/>
  <c r="W151"/>
  <c r="W149"/>
  <c r="W145"/>
  <c r="W144"/>
  <c r="W139"/>
  <c r="W134"/>
  <c r="W117"/>
  <c r="W114"/>
  <c r="W109"/>
  <c r="W101"/>
  <c r="W100"/>
  <c r="W98"/>
  <c r="W97"/>
  <c r="W96"/>
  <c r="W91"/>
  <c r="W89"/>
  <c r="W87"/>
  <c r="W86"/>
  <c r="W85"/>
  <c r="W81"/>
  <c r="W67"/>
  <c r="W66"/>
  <c r="W64"/>
  <c r="W59"/>
  <c r="W55"/>
  <c r="W53"/>
  <c r="W51"/>
  <c r="W49"/>
  <c r="W47"/>
  <c r="W43"/>
  <c r="W22"/>
  <c r="W21"/>
  <c r="W20"/>
  <c r="W19"/>
  <c r="W18"/>
  <c r="W14"/>
  <c r="W13"/>
  <c r="W12"/>
  <c r="W11"/>
  <c r="V15"/>
  <c r="V23"/>
  <c r="V61"/>
  <c r="V68"/>
  <c r="V93"/>
  <c r="V146"/>
  <c r="V173"/>
  <c r="V193"/>
  <c r="V209"/>
  <c r="V220"/>
  <c r="U220"/>
  <c r="U209"/>
  <c r="U193"/>
  <c r="U173"/>
  <c r="U158"/>
  <c r="J75" i="20" s="1"/>
  <c r="J79" s="1"/>
  <c r="U146" i="1"/>
  <c r="U118"/>
  <c r="U93"/>
  <c r="U68"/>
  <c r="U61"/>
  <c r="U23"/>
  <c r="U15"/>
  <c r="P220"/>
  <c r="P209"/>
  <c r="P193"/>
  <c r="P146"/>
  <c r="P93"/>
  <c r="P68"/>
  <c r="J112" i="20" l="1"/>
  <c r="U174" i="1"/>
  <c r="AI118"/>
  <c r="AI222" s="1"/>
  <c r="AH118"/>
  <c r="AH222" s="1"/>
  <c r="AJ118"/>
  <c r="AJ222" s="1"/>
  <c r="V104"/>
  <c r="U104"/>
  <c r="S93"/>
  <c r="S146"/>
  <c r="U24"/>
  <c r="U225" s="1"/>
  <c r="S220"/>
  <c r="S209"/>
  <c r="W146"/>
  <c r="W93"/>
  <c r="W23"/>
  <c r="S68"/>
  <c r="W68"/>
  <c r="W173"/>
  <c r="W15"/>
  <c r="S193"/>
  <c r="W220"/>
  <c r="W193"/>
  <c r="W209"/>
  <c r="W103"/>
  <c r="W61"/>
  <c r="V210"/>
  <c r="V24"/>
  <c r="V225" s="1"/>
  <c r="U210"/>
  <c r="P210"/>
  <c r="W225" l="1"/>
  <c r="W24"/>
  <c r="S210"/>
  <c r="W104"/>
  <c r="W210"/>
  <c r="J113" i="20" l="1"/>
  <c r="J116"/>
  <c r="J117" s="1"/>
  <c r="F5" i="34" s="1"/>
  <c r="F7" s="1"/>
  <c r="F12" s="1"/>
  <c r="F14" l="1"/>
  <c r="J12"/>
  <c r="S108" i="1"/>
  <c r="S114" l="1"/>
  <c r="S118" l="1"/>
  <c r="V118" l="1"/>
  <c r="AK118" s="1"/>
  <c r="AK222" s="1"/>
  <c r="W108"/>
  <c r="W118" l="1"/>
  <c r="S156" l="1"/>
  <c r="S155"/>
  <c r="P158"/>
  <c r="E75" i="20" s="1"/>
  <c r="G75" l="1"/>
  <c r="P170" i="1"/>
  <c r="S158"/>
  <c r="E76" i="20" l="1"/>
  <c r="AE170" i="1"/>
  <c r="AE222" s="1"/>
  <c r="AF170"/>
  <c r="AD170"/>
  <c r="AD222" s="1"/>
  <c r="H75" i="20"/>
  <c r="W156" i="1"/>
  <c r="G76" i="20" l="1"/>
  <c r="E79"/>
  <c r="G79" s="1"/>
  <c r="R171" i="1"/>
  <c r="S171"/>
  <c r="V158"/>
  <c r="W155"/>
  <c r="L78" i="20" l="1"/>
  <c r="K75"/>
  <c r="K79" s="1"/>
  <c r="V174" i="1"/>
  <c r="W158"/>
  <c r="L75" i="20" l="1"/>
  <c r="L79"/>
  <c r="K112" l="1"/>
  <c r="L112" s="1"/>
  <c r="E10"/>
  <c r="E11"/>
  <c r="E12"/>
  <c r="E13"/>
  <c r="K113" l="1"/>
  <c r="L113" s="1"/>
  <c r="K116"/>
  <c r="K117" s="1"/>
  <c r="L117" s="1"/>
  <c r="L116" l="1"/>
  <c r="S13" i="1"/>
  <c r="F12" i="20"/>
  <c r="R13" i="1"/>
  <c r="S14"/>
  <c r="R14"/>
  <c r="F13" i="20"/>
  <c r="S11" i="1"/>
  <c r="F10" i="20"/>
  <c r="R11" i="1"/>
  <c r="S12"/>
  <c r="F11" i="20"/>
  <c r="R12" i="1"/>
  <c r="H10" i="20" l="1"/>
  <c r="G10"/>
  <c r="H13"/>
  <c r="G13"/>
  <c r="H12"/>
  <c r="G12"/>
  <c r="H11"/>
  <c r="G11"/>
  <c r="P61" i="1"/>
  <c r="E30" i="20"/>
  <c r="S47" i="1"/>
  <c r="F30" i="20"/>
  <c r="F37" s="1"/>
  <c r="Q61" i="1"/>
  <c r="R47"/>
  <c r="R61" s="1"/>
  <c r="R104" s="1"/>
  <c r="E37" i="20" l="1"/>
  <c r="E71" s="1"/>
  <c r="G30"/>
  <c r="G37" s="1"/>
  <c r="G71" s="1"/>
  <c r="S61" i="1"/>
  <c r="Q104"/>
  <c r="H30" i="20"/>
  <c r="F71"/>
  <c r="H37" l="1"/>
  <c r="H71"/>
  <c r="S140" i="1" l="1"/>
  <c r="S170" l="1"/>
  <c r="R170"/>
  <c r="R173" s="1"/>
  <c r="R174" s="1"/>
  <c r="P173"/>
  <c r="P174" s="1"/>
  <c r="S173" l="1"/>
  <c r="H76" i="20"/>
  <c r="H79" l="1"/>
  <c r="S174" i="1"/>
  <c r="U222" l="1"/>
  <c r="U226" l="1"/>
  <c r="U227" s="1"/>
  <c r="U223"/>
  <c r="W140"/>
  <c r="V222" l="1"/>
  <c r="W222" s="1"/>
  <c r="W174"/>
  <c r="V226" l="1"/>
  <c r="W226" s="1"/>
  <c r="V223"/>
  <c r="W223" s="1"/>
  <c r="V227" l="1"/>
  <c r="W227" s="1"/>
  <c r="E6" i="21"/>
  <c r="E7" s="1"/>
  <c r="E12" s="1"/>
  <c r="E18" s="1"/>
  <c r="E23" l="1"/>
  <c r="E25" s="1"/>
  <c r="E40" l="1"/>
  <c r="E41" s="1"/>
  <c r="E43" s="1"/>
  <c r="E53"/>
  <c r="E56" s="1"/>
  <c r="E57" s="1"/>
  <c r="E44" l="1"/>
  <c r="E45" s="1"/>
  <c r="E66"/>
  <c r="E70" s="1"/>
  <c r="S103" i="1"/>
  <c r="P104"/>
  <c r="S104" l="1"/>
  <c r="F8" i="20"/>
  <c r="E8"/>
  <c r="Q15" i="1"/>
  <c r="E14" i="20" l="1"/>
  <c r="G8"/>
  <c r="G14" s="1"/>
  <c r="H8"/>
  <c r="F14"/>
  <c r="P15" i="1"/>
  <c r="S7"/>
  <c r="R7"/>
  <c r="R15" s="1"/>
  <c r="H14" i="20" l="1"/>
  <c r="S15" i="1"/>
  <c r="S22"/>
  <c r="S21"/>
  <c r="S20"/>
  <c r="S19"/>
  <c r="F20" i="20"/>
  <c r="H20" s="1"/>
  <c r="F19"/>
  <c r="H19" s="1"/>
  <c r="F21"/>
  <c r="H21" s="1"/>
  <c r="E19"/>
  <c r="E20"/>
  <c r="G20" s="1"/>
  <c r="R22" i="1"/>
  <c r="E21" i="20"/>
  <c r="F18"/>
  <c r="H18" s="1"/>
  <c r="Q23" i="1"/>
  <c r="Q24" s="1"/>
  <c r="R19"/>
  <c r="G19" i="20" l="1"/>
  <c r="F22"/>
  <c r="F23" s="1"/>
  <c r="P23" i="1"/>
  <c r="P24" s="1"/>
  <c r="C43" s="1"/>
  <c r="C26" i="20" s="1"/>
  <c r="E18"/>
  <c r="Q225" i="1"/>
  <c r="Q39"/>
  <c r="Q42" s="1"/>
  <c r="Q44" s="1"/>
  <c r="R21"/>
  <c r="R20"/>
  <c r="E22" i="20" l="1"/>
  <c r="E23" s="1"/>
  <c r="H23" s="1"/>
  <c r="G18"/>
  <c r="G22" s="1"/>
  <c r="G23" s="1"/>
  <c r="R23" i="1"/>
  <c r="R24" s="1"/>
  <c r="P225"/>
  <c r="P39"/>
  <c r="S23"/>
  <c r="F115" i="20"/>
  <c r="S24" i="1"/>
  <c r="F26" i="20"/>
  <c r="Q222" i="1"/>
  <c r="G115" i="20" l="1"/>
  <c r="H22"/>
  <c r="E115"/>
  <c r="H115" s="1"/>
  <c r="R225" i="1"/>
  <c r="Q226"/>
  <c r="Q223"/>
  <c r="F112" i="20"/>
  <c r="R39" i="1"/>
  <c r="P42"/>
  <c r="S225"/>
  <c r="P44" l="1"/>
  <c r="F116" i="20"/>
  <c r="F113"/>
  <c r="Q227" i="1"/>
  <c r="R42"/>
  <c r="R222" s="1"/>
  <c r="R223" s="1"/>
  <c r="F117" i="20" l="1"/>
  <c r="P222" i="1"/>
  <c r="E26" i="20"/>
  <c r="G26" s="1"/>
  <c r="G112" s="1"/>
  <c r="AF43" i="1"/>
  <c r="AF222" s="1"/>
  <c r="S43"/>
  <c r="AD223" l="1"/>
  <c r="G116" i="20"/>
  <c r="G117" s="1"/>
  <c r="G113"/>
  <c r="P226" i="1"/>
  <c r="P223"/>
  <c r="S222"/>
  <c r="E112" i="20"/>
  <c r="H26"/>
  <c r="S223" i="1" l="1"/>
  <c r="H5" i="34"/>
  <c r="H7" s="1"/>
  <c r="H11" s="1"/>
  <c r="R226" i="1"/>
  <c r="P227"/>
  <c r="S226"/>
  <c r="E116" i="20"/>
  <c r="E113"/>
  <c r="H113" s="1"/>
  <c r="H112"/>
  <c r="J11" i="34" l="1"/>
  <c r="J14" s="1"/>
  <c r="H14"/>
  <c r="R227" i="1"/>
  <c r="S227"/>
  <c r="E117" i="20"/>
  <c r="H117" s="1"/>
  <c r="H116"/>
  <c r="N12" i="21"/>
  <c r="N11" s="1"/>
  <c r="N18" l="1"/>
  <c r="N23" l="1"/>
  <c r="N25" s="1"/>
  <c r="N40" l="1"/>
  <c r="N41" s="1"/>
  <c r="N43" s="1"/>
  <c r="N44" s="1"/>
  <c r="N53"/>
  <c r="N56" s="1"/>
  <c r="N57" s="1"/>
  <c r="N46"/>
  <c r="N66" l="1"/>
  <c r="N67" s="1"/>
  <c r="N68" s="1"/>
</calcChain>
</file>

<file path=xl/comments1.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comments2.xml><?xml version="1.0" encoding="utf-8"?>
<comments xmlns="http://schemas.openxmlformats.org/spreadsheetml/2006/main">
  <authors>
    <author>Dawn Jacobson</author>
  </authors>
  <commentList>
    <comment ref="G109"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3.xml><?xml version="1.0" encoding="utf-8"?>
<comments xmlns="http://schemas.openxmlformats.org/spreadsheetml/2006/main">
  <authors>
    <author>Dawn Jacobson</author>
  </authors>
  <commentList>
    <comment ref="D32"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5" authorId="0">
      <text>
        <r>
          <rPr>
            <b/>
            <sz val="9"/>
            <color indexed="81"/>
            <rFont val="Tahoma"/>
            <family val="2"/>
          </rPr>
          <t>Dawn Jacobson:</t>
        </r>
        <r>
          <rPr>
            <sz val="9"/>
            <color indexed="81"/>
            <rFont val="Tahoma"/>
            <family val="2"/>
          </rPr>
          <t xml:space="preserve">
Don't Include (Comp Package assumed all was income nothing to Pension)</t>
        </r>
      </text>
    </comment>
    <comment ref="H55" authorId="0">
      <text>
        <r>
          <rPr>
            <b/>
            <sz val="9"/>
            <color indexed="81"/>
            <rFont val="Tahoma"/>
            <family val="2"/>
          </rPr>
          <t>Dawn Jacobson:</t>
        </r>
        <r>
          <rPr>
            <sz val="9"/>
            <color indexed="81"/>
            <rFont val="Tahoma"/>
            <family val="2"/>
          </rPr>
          <t xml:space="preserve">
Don't Include (Comp Package assumed all was income nothing to Pension)</t>
        </r>
      </text>
    </comment>
    <comment ref="I55" authorId="0">
      <text>
        <r>
          <rPr>
            <b/>
            <sz val="9"/>
            <color indexed="81"/>
            <rFont val="Tahoma"/>
            <family val="2"/>
          </rPr>
          <t>Dawn Jacobson:</t>
        </r>
        <r>
          <rPr>
            <sz val="9"/>
            <color indexed="81"/>
            <rFont val="Tahoma"/>
            <family val="2"/>
          </rPr>
          <t xml:space="preserve">
Don't Include (Comp Package assumed all was income nothing to Pension)</t>
        </r>
      </text>
    </comment>
    <comment ref="K55" authorId="0">
      <text>
        <r>
          <rPr>
            <b/>
            <sz val="9"/>
            <color indexed="81"/>
            <rFont val="Tahoma"/>
            <family val="2"/>
          </rPr>
          <t>Dawn Jacobson:</t>
        </r>
        <r>
          <rPr>
            <sz val="9"/>
            <color indexed="81"/>
            <rFont val="Tahoma"/>
            <family val="2"/>
          </rPr>
          <t xml:space="preserve">
Don't Include (Comp Package assumed all was income nothing to Pension)</t>
        </r>
      </text>
    </comment>
    <comment ref="L55" authorId="0">
      <text>
        <r>
          <rPr>
            <b/>
            <sz val="9"/>
            <color indexed="81"/>
            <rFont val="Tahoma"/>
            <family val="2"/>
          </rPr>
          <t>Dawn Jacobson:</t>
        </r>
        <r>
          <rPr>
            <sz val="9"/>
            <color indexed="81"/>
            <rFont val="Tahoma"/>
            <family val="2"/>
          </rPr>
          <t xml:space="preserve">
Don't Include (Comp Package assumed all was income nothing to Pension)</t>
        </r>
      </text>
    </comment>
    <comment ref="M55" authorId="0">
      <text>
        <r>
          <rPr>
            <b/>
            <sz val="9"/>
            <color indexed="81"/>
            <rFont val="Tahoma"/>
            <family val="2"/>
          </rPr>
          <t>Dawn Jacobson:</t>
        </r>
        <r>
          <rPr>
            <sz val="9"/>
            <color indexed="81"/>
            <rFont val="Tahoma"/>
            <family val="2"/>
          </rPr>
          <t xml:space="preserve">
Don't Include (Comp Package assumed all was income nothing to Pension)</t>
        </r>
      </text>
    </comment>
    <comment ref="N55" authorId="0">
      <text>
        <r>
          <rPr>
            <b/>
            <sz val="9"/>
            <color indexed="81"/>
            <rFont val="Tahoma"/>
            <family val="2"/>
          </rPr>
          <t>Dawn Jacobson:</t>
        </r>
        <r>
          <rPr>
            <sz val="9"/>
            <color indexed="81"/>
            <rFont val="Tahoma"/>
            <family val="2"/>
          </rPr>
          <t xml:space="preserve">
Don't Include (Comp Package assumed all was income nothing to Pension)</t>
        </r>
      </text>
    </comment>
    <comment ref="O55" authorId="0">
      <text>
        <r>
          <rPr>
            <b/>
            <sz val="9"/>
            <color indexed="81"/>
            <rFont val="Tahoma"/>
            <family val="2"/>
          </rPr>
          <t>Dawn Jacobson:</t>
        </r>
        <r>
          <rPr>
            <sz val="9"/>
            <color indexed="81"/>
            <rFont val="Tahoma"/>
            <family val="2"/>
          </rPr>
          <t xml:space="preserve">
Don't Include (Comp Package assumed all was income nothing to Pension)</t>
        </r>
      </text>
    </comment>
    <comment ref="P55"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4.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<sst xmlns="http://schemas.openxmlformats.org/spreadsheetml/2006/main" count="881" uniqueCount="553">
  <si>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</si>
  <si>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</si>
  <si>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</si>
  <si>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</si>
  <si>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</si>
  <si>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</si>
  <si>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</si>
  <si>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</si>
  <si>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</si>
  <si>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</si>
  <si>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</si>
  <si>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</si>
  <si>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</si>
  <si>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</si>
  <si>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</si>
  <si>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</si>
  <si>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</si>
  <si>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</si>
  <si>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</si>
  <si>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</si>
  <si>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</si>
  <si>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</si>
  <si>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</si>
  <si>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</si>
  <si>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</si>
  <si>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</si>
  <si>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</si>
  <si>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</si>
  <si>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</si>
  <si>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</si>
  <si>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</si>
  <si>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</si>
  <si>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</si>
  <si>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</si>
  <si>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</si>
  <si>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</si>
  <si>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</si>
  <si>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</si>
  <si>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</si>
  <si>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</si>
  <si>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</si>
  <si>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</si>
  <si>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</si>
  <si>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</si>
  <si>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</si>
  <si>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</si>
  <si>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</si>
  <si>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</si>
  <si>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</si>
  <si>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</si>
  <si>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</si>
  <si>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</si>
  <si>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</si>
  <si>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</si>
  <si>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</si>
  <si>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</si>
  <si>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</si>
  <si>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</si>
  <si>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</si>
  <si>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</si>
  <si>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</si>
  <si>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</si>
  <si>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</si>
  <si>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</si>
  <si>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</si>
  <si>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</si>
  <si>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</si>
  <si>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</si>
  <si>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</si>
  <si>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</si>
  <si>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</si>
  <si>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</si>
  <si>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</si>
  <si>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</si>
  <si>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</si>
  <si>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</si>
  <si>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</si>
  <si>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</si>
  <si>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</si>
  <si>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</si>
  <si>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</si>
  <si>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</si>
  <si>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</si>
  <si>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</si>
  <si>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</si>
  <si>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</si>
  <si>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</si>
  <si>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</si>
  <si>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</si>
  <si>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</si>
  <si>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</si>
  <si>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</si>
  <si>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</si>
  <si>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</si>
  <si>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</si>
  <si>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</si>
  <si>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</si>
  <si>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</si>
  <si>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</si>
  <si>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</si>
  <si>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</si>
  <si>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</si>
  <si>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</si>
  <si>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</si>
  <si>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</si>
  <si>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</si>
  <si>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</si>
  <si>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</si>
  <si>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</si>
  <si>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</si>
  <si>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</si>
  <si>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</si>
  <si>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</si>
  <si>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</si>
  <si>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</si>
  <si>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</si>
  <si>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</si>
  <si>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</si>
  <si>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</si>
  <si>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</si>
  <si>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</si>
  <si>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</si>
  <si>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</si>
  <si>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</si>
  <si>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</si>
  <si>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</si>
  <si>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</si>
  <si>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</si>
  <si>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</si>
  <si>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</si>
  <si>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</si>
  <si>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</si>
  <si>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</si>
  <si>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</si>
  <si>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</si>
  <si>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</si>
  <si>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</si>
  <si>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</si>
  <si>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</si>
  <si>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</si>
  <si>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</si>
  <si>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</si>
  <si>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</si>
  <si>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</si>
  <si>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</si>
  <si>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</si>
  <si>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</si>
  <si>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</si>
  <si>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</si>
  <si>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</si>
  <si>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</si>
  <si>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</si>
  <si>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</si>
  <si>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</si>
  <si>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</si>
  <si>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</si>
  <si>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</si>
  <si>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</si>
  <si>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</si>
  <si>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</si>
  <si>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</si>
  <si>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</si>
  <si>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</si>
  <si>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</si>
  <si>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</si>
  <si>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</si>
  <si>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</si>
  <si>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</si>
  <si>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</si>
  <si>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</si>
  <si>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</si>
  <si>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</si>
  <si>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</si>
  <si>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</si>
  <si>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</si>
  <si>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</si>
  <si>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</si>
  <si>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</si>
  <si>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</si>
  <si>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</si>
  <si>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</si>
  <si>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</si>
  <si>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</si>
  <si>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</si>
  <si>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</si>
  <si>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</si>
  <si>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</si>
  <si>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</si>
  <si>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</si>
  <si>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</si>
  <si>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</si>
  <si>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</si>
  <si>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</si>
  <si>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</si>
  <si>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</si>
  <si>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</si>
  <si>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</si>
  <si>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</si>
  <si>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</si>
  <si>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</si>
  <si>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</si>
  <si>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Total Defined Comp.</t>
  </si>
  <si>
    <t>Health/Dental/Vision Difference</t>
  </si>
  <si>
    <t>Gross up</t>
  </si>
  <si>
    <t>Annually</t>
  </si>
  <si>
    <t>Health Premium Allowance</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</si>
  <si>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</si>
  <si>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</si>
  <si>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</si>
  <si>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</si>
  <si>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</si>
  <si>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</si>
  <si>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</si>
  <si>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</si>
  <si>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</si>
  <si>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</si>
  <si>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</si>
  <si>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</si>
  <si>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</si>
  <si>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</si>
  <si>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</si>
  <si>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</si>
  <si>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</si>
  <si>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</si>
  <si>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</si>
  <si>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</si>
  <si>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</si>
  <si>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</si>
  <si>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</si>
  <si>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</si>
  <si>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</si>
  <si>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</si>
  <si>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</si>
  <si>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</si>
  <si>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</si>
  <si>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</si>
  <si>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</si>
  <si>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</si>
  <si>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</si>
  <si>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</si>
  <si>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</si>
  <si>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</si>
  <si>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</si>
  <si>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</si>
  <si>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</si>
  <si>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</si>
  <si>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</si>
  <si>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</si>
  <si>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</si>
  <si>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</si>
  <si>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</si>
  <si>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</si>
  <si>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</si>
  <si>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</si>
  <si>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</si>
  <si>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</si>
  <si>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</si>
  <si>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</si>
  <si>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</si>
  <si>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</si>
  <si>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</si>
  <si>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</si>
  <si>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</si>
  <si>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</si>
  <si>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</si>
  <si>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</si>
  <si>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</si>
  <si>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</si>
  <si>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</si>
  <si>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</si>
  <si>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</si>
  <si>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</si>
  <si>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</si>
  <si>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</si>
  <si>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</si>
  <si>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</si>
  <si>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</si>
  <si>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</si>
  <si>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</si>
  <si>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</si>
  <si>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</si>
  <si>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</si>
  <si>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</si>
  <si>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</si>
  <si>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</si>
  <si>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</si>
  <si>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</si>
  <si>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</si>
  <si>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</si>
  <si>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</si>
  <si>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</si>
  <si>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</si>
  <si>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</si>
  <si>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</si>
  <si>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</si>
  <si>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</si>
  <si>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</si>
  <si>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</si>
  <si>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</si>
  <si>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</si>
  <si>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</si>
  <si>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</si>
  <si>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</si>
  <si>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</si>
  <si>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</si>
  <si>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</si>
  <si>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</si>
  <si>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</si>
  <si>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</si>
  <si>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</si>
  <si>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</si>
  <si>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</si>
  <si>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</si>
  <si>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</si>
  <si>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</si>
  <si>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</si>
  <si>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</si>
  <si>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</si>
  <si>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</si>
  <si>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</si>
  <si>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</si>
  <si>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</si>
  <si>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</si>
  <si>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</si>
  <si>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</si>
  <si>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</si>
  <si>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t>2020:  Requested same as 2019.   Cake/Materials $100 and Curriculum/books/cups $100.</t>
  </si>
  <si>
    <t>2020:  Request same as 2019 but set up dedicated funds from the Nov 3rd Aebleskivers to be used for the 2020 Picnic.</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</si>
  <si>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</si>
  <si>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</si>
  <si>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</si>
  <si>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</si>
  <si>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</si>
  <si>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</si>
  <si>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</si>
  <si>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</si>
  <si>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</si>
  <si>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</si>
  <si>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</si>
  <si>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</si>
  <si>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</si>
  <si>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</si>
  <si>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</si>
  <si>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2019:  Youth Night Food &amp; Projects $7,208, Fright Fest $500, Winter Retreat $292, Winter Retreat Bus $300, Mission Trip 4 Chaperones $4,000 (combined middle/high school trip), 2 Lock-ins $500 (Food and Community service project).</t>
  </si>
  <si>
    <t>Other Programs</t>
  </si>
  <si>
    <t>Telephone</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</si>
  <si>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</si>
  <si>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</si>
  <si>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</si>
  <si>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2020:  Requested same as 2019.  Books $200 and DVDs $100.  They spend their $ at end of each year.</t>
  </si>
  <si>
    <t xml:space="preserve">2020:  Requested Materials $500. </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</si>
  <si>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</si>
  <si>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</si>
  <si>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</si>
  <si>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</si>
  <si>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</si>
  <si>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</si>
  <si>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</si>
  <si>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</si>
  <si>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</si>
  <si>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</si>
  <si>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FICA Tax</t>
  </si>
  <si>
    <t>FICA Tax:  7.65%</t>
  </si>
  <si>
    <t>2020:  Per Building &amp; Grounds - same as 2019.   $50 month for Dori's Phone.  Does not include charge for new phone.  Only 5 months for Dori in 2020.</t>
  </si>
  <si>
    <t>Health Care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</si>
  <si>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</si>
  <si>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</si>
  <si>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</si>
  <si>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</si>
  <si>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</si>
  <si>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</si>
  <si>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</si>
  <si>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</si>
  <si>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</si>
  <si>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</si>
  <si>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</si>
  <si>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</si>
  <si>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For 2018, Pastor Pahl has chosen to waive both Medical and Dental coverage.</t>
  </si>
  <si>
    <t>Per Compensation Package.  This excludes the $500 that is included for Synod Assembly (budgeted under Misc Programs).</t>
  </si>
  <si>
    <t>Grand Total - Assoc. Pastor</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</si>
  <si>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</si>
  <si>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</si>
  <si>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</si>
  <si>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</si>
  <si>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</si>
  <si>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</si>
  <si>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</si>
  <si>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</si>
  <si>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</si>
  <si>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</si>
  <si>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</si>
  <si>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</si>
  <si>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</si>
  <si>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</si>
  <si>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Jack Sensig</t>
  </si>
  <si>
    <t>2020:  Requested same as 2019.  RIC advertisement is purchased for $200</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</si>
  <si>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</si>
  <si>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</si>
  <si>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</si>
  <si>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</si>
  <si>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</si>
  <si>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</si>
  <si>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</si>
  <si>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</si>
  <si>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</si>
  <si>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</si>
  <si>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</si>
  <si>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</si>
  <si>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Changing Staff:</t>
  </si>
  <si>
    <t>Dori's Salary</t>
  </si>
  <si>
    <t>Intern John's Salary</t>
  </si>
  <si>
    <t>All costs *</t>
  </si>
  <si>
    <t xml:space="preserve">2020:  Per Building and Grounds suggest $5,000 due to actual YTD. </t>
  </si>
  <si>
    <t>Loose Offerings &amp; Misc.</t>
  </si>
  <si>
    <t>Church &amp; Community</t>
  </si>
  <si>
    <t>Office Administrator</t>
  </si>
  <si>
    <t>Office Temporary</t>
  </si>
  <si>
    <t xml:space="preserve">Greater Milwaukee Synod </t>
  </si>
  <si>
    <t>Holman's</t>
  </si>
  <si>
    <t>Lutherdale</t>
  </si>
  <si>
    <t>Racine Interfairth Coalition</t>
  </si>
  <si>
    <t>Good Samaritain</t>
  </si>
  <si>
    <t>HALO</t>
  </si>
  <si>
    <t>Tiny Homes</t>
  </si>
  <si>
    <t>Hospitality Center</t>
  </si>
  <si>
    <t>Lutheran Social Services</t>
  </si>
  <si>
    <t xml:space="preserve">This is for preparing the music and does not include practice or performance of music. </t>
  </si>
  <si>
    <t>Racine Cluster (Living Faith Meal)</t>
  </si>
  <si>
    <t>For Comparison:</t>
  </si>
  <si>
    <t>Love Jesus</t>
  </si>
  <si>
    <t>Volunteer Coordinator</t>
  </si>
  <si>
    <t>Advent Offerings</t>
  </si>
  <si>
    <t>Estimate from Cheryl</t>
  </si>
  <si>
    <t>Parish/Finance Secretary (40 hrs/week)</t>
  </si>
  <si>
    <t>Lead Custodian - Mark (25 hrs/week)</t>
  </si>
  <si>
    <t>Custodian - Rebecca (20 hrs/week)</t>
  </si>
  <si>
    <t>Custodian - ????  (7.5 hrs/week)</t>
  </si>
  <si>
    <t>Volunteer Coordinator (15 hrs/week)</t>
  </si>
  <si>
    <t>Chancelor Choir Director</t>
  </si>
  <si>
    <t xml:space="preserve">Annually </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</si>
  <si>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</si>
  <si>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</si>
  <si>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</si>
  <si>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</si>
  <si>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</si>
  <si>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</si>
  <si>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t>
  </si>
  <si>
    <t>Continuing Ed &amp; Fall Theological</t>
  </si>
  <si>
    <t>8 Years of Experience (Guideline for 2020 = $62,066) plus 1% to get to 2021 estimate
NOTE:  Need to get the split of housing/salary</t>
  </si>
  <si>
    <t>DEFINED COMP.</t>
  </si>
  <si>
    <t>Annual Contract</t>
  </si>
  <si>
    <t>No Longer needed starting in 2021</t>
  </si>
  <si>
    <t>6.2% Social Sec./1.45% Medicare</t>
  </si>
  <si>
    <t xml:space="preserve">FICA  %: </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</si>
  <si>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</si>
  <si>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</si>
  <si>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</si>
  <si>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</si>
  <si>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</si>
  <si>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</si>
  <si>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</si>
  <si>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</si>
  <si>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</si>
  <si>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</si>
  <si>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</si>
  <si>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</si>
  <si>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</si>
  <si>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2021 Estimates</t>
  </si>
  <si>
    <t>ELCA
 Guidelines</t>
  </si>
  <si>
    <t>2% Increase</t>
  </si>
  <si>
    <t>1% Increase</t>
  </si>
  <si>
    <t>0% Increase</t>
  </si>
  <si>
    <t>2.6% Increase plus 1/2 to Guidelines</t>
  </si>
  <si>
    <t>Not needed starting 2021</t>
  </si>
  <si>
    <t/>
  </si>
  <si>
    <t>2021 Budget</t>
  </si>
  <si>
    <t>2020: Gave an extra $1,500 to help support churches impacted by Covid-19</t>
  </si>
  <si>
    <t>2020:  Suggested $1,000 additional.</t>
  </si>
  <si>
    <t>2020:  Suggested $500 additional.</t>
  </si>
  <si>
    <t>2020:  Suggested $1,000 additional ($500 our fund and $500 Living Faith).</t>
  </si>
  <si>
    <t>Racine Food Shelf</t>
  </si>
  <si>
    <t>2021:  Leave at 2020 budget</t>
  </si>
  <si>
    <t>2020:  Requested $300 for Brown Bag Bible Study $100, Sunday Adult Ed/Forum $100, and Other Adult Study $100.</t>
  </si>
  <si>
    <t>2020:  Request same as 2019.  Actuals are much lower so reduced $500.</t>
  </si>
  <si>
    <t>What is the expected number of confirmants for 2021?</t>
  </si>
  <si>
    <t>2020:  Will pay $600 for new Youth Refrigerator.  Budget received no detail.  Keep the same as 2019.</t>
  </si>
  <si>
    <t>2020:  Includes $10k donation early in year which is budgeted paced evenly.  This creates about $2,500 unfavorablilty through Sept YTD.</t>
  </si>
  <si>
    <t>2020:  Request same as 2019.</t>
  </si>
  <si>
    <t>2021:  ???</t>
  </si>
  <si>
    <t>2020:  Assembly be for 2020 will likely be in Milwaukee.  Budget includes session and mileage for 3 Congregational members and Pastor.</t>
  </si>
  <si>
    <t>2020:  Assumes 2 mailings same number of mailings as for 2019</t>
  </si>
  <si>
    <t>2020 Request (Jim Sodke):  Choir Piano (2 times) and 3 other pianos (1 time) at $75/each time.  Grand Piano (3 times) at $150 each.  Organ Tuning (1 time) at 750.   Total $1,575.  Includes rate increase and/or minor repairs.</t>
  </si>
  <si>
    <t>NOTES:  2019 Heather new computer, Cheryl new computer 11/2016 and Janice got a new printer also.</t>
  </si>
  <si>
    <t>NOTE:  Estimate per Jay;  $600 Vanco, $996 Johnson Bank (Per month:  $20 Online Banking, $40 Remote Deposit, $15 ACH Module and $8/transaction over 250 Transactions…Estimated $83/Month) and $85 for Safety Deposit Box….Round up to $1,700</t>
  </si>
  <si>
    <t>Start December 1,  2020</t>
  </si>
  <si>
    <t>Decision was to waive the health care coverage.</t>
  </si>
  <si>
    <t>Not needed</t>
  </si>
  <si>
    <t>2020:  Per Building &amp; Grounds consider dropping to $6,000 based on YTD.
 2019:  Increased budget from $3,500 In 2018 to $8,000.</t>
  </si>
  <si>
    <t>2021:  What impact will leasing the copier have on this account?
 2020:  Includes $1,761.90 for Applie Mac Mini for Pastor Karen</t>
  </si>
  <si>
    <t xml:space="preserve">2020:  Includes $2,862 for Air Purifying System, Drinking Fountain replaced $1,775, Cabinets in new Conf room and rekeying rooms, etc. </t>
  </si>
  <si>
    <t>2020:  John's seminary mileage to Minnesota $412.85</t>
  </si>
  <si>
    <t>2020:  did the Clean up of the Septic value (around $3,000) get done?</t>
  </si>
  <si>
    <t>Target is to have expenses no greater than the estimated envelope giving.</t>
  </si>
  <si>
    <t>2021:  Do the Audit in 2022   2020:  Full audit $2,000 &amp; Financial Questions ($500) and Pastor John ($2,000)</t>
  </si>
  <si>
    <t>2021:  Cheryl working on reducing printing of unneeded envelopes.  She estimates $500 for 2021.</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</si>
  <si>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</si>
  <si>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</si>
  <si>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</si>
  <si>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</si>
  <si>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</si>
  <si>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</si>
  <si>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</si>
  <si>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</si>
  <si>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</si>
  <si>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</si>
  <si>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r>
      <t xml:space="preserve">2021:  We don't have initial pledges yet.  </t>
    </r>
    <r>
      <rPr>
        <sz val="11"/>
        <color theme="1"/>
        <rFont val="Calibri"/>
        <family val="2"/>
        <scheme val="minor"/>
      </rPr>
      <t>Last year was 95 total with 38 increase, 16 new, 30 same, 13 decreased.</t>
    </r>
  </si>
  <si>
    <t>2021:  Eliminate - Don't pay for Dori's phone.</t>
  </si>
  <si>
    <t>2021:  Take up per Cheryl and Pastor</t>
  </si>
  <si>
    <t>2021:  Bill varies per quarter per Cheryl.  $4,400 should be good for full year.</t>
  </si>
  <si>
    <t>2020:  Actuals:   Spent an additional $89.95 to change the sensors for switching offices for John/Conference Room  Budget:   Per Building &amp; Grounds - same as 2019.   We took it up a bit based on Sept YTD</t>
  </si>
  <si>
    <t>2021:  Should be fine at $350 for full year per Cheryl.</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</si>
  <si>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</si>
  <si>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</si>
  <si>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</si>
  <si>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</si>
  <si>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</si>
  <si>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</si>
  <si>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No Longer needed starting 2021</t>
  </si>
  <si>
    <t>Other</t>
  </si>
  <si>
    <t>Nov 2020 YTD Actual</t>
  </si>
  <si>
    <t>Nov 2020 YTD Budget</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</si>
  <si>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</si>
  <si>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</si>
  <si>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</si>
  <si>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</si>
  <si>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</si>
  <si>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</si>
  <si>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</si>
  <si>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</si>
  <si>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</si>
  <si>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</si>
  <si>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</si>
  <si>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</si>
  <si>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</si>
  <si>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</si>
  <si>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</si>
  <si>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</si>
  <si>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</si>
  <si>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</si>
  <si>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t>Pay Rates for 2021</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</si>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</sst>
</file>

<file path=xl/styles.xml><?xml version="1.0" encoding="utf-8"?>
<styleSheet xmlns="http://schemas.openxmlformats.org/spreadsheetml/2006/main">
  <numFmts count="16">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 numFmtId="173" formatCode="&quot;$&quot;#,##0.000_);\(&quot;$&quot;#,##0.000\)"/>
    <numFmt numFmtId="174" formatCode="&quot;$&quot;#,##0.00000_);\(&quot;$&quot;#,##0.00000\)"/>
  </numFmts>
  <fonts count="39">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77">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7" fontId="1" fillId="0" borderId="33" xfId="1" applyNumberFormat="1" applyFont="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164" fontId="7" fillId="10" borderId="33"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7" xfId="1" applyNumberFormat="1" applyFont="1" applyBorder="1" applyAlignment="1">
      <alignment vertical="center"/>
    </xf>
    <xf numFmtId="164" fontId="15" fillId="0" borderId="98" xfId="1" applyNumberFormat="1" applyFont="1" applyFill="1" applyBorder="1" applyAlignment="1">
      <alignment vertical="center"/>
    </xf>
    <xf numFmtId="164" fontId="7" fillId="0" borderId="98" xfId="1" applyNumberFormat="1" applyFont="1" applyBorder="1" applyAlignment="1">
      <alignment vertical="center"/>
    </xf>
    <xf numFmtId="165" fontId="0" fillId="0" borderId="99" xfId="2" applyNumberFormat="1" applyFont="1" applyBorder="1" applyAlignment="1">
      <alignment horizontal="center" vertical="center"/>
    </xf>
    <xf numFmtId="164" fontId="0" fillId="0" borderId="100" xfId="1" applyNumberFormat="1" applyFont="1" applyBorder="1" applyAlignment="1">
      <alignment vertical="center"/>
    </xf>
    <xf numFmtId="165" fontId="0" fillId="0" borderId="101"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7" fontId="7" fillId="0" borderId="32" xfId="1" applyNumberFormat="1" applyFont="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5" fontId="13" fillId="11" borderId="26" xfId="1" applyNumberFormat="1" applyFont="1" applyFill="1" applyBorder="1" applyAlignment="1">
      <alignment horizontal="righ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11" borderId="10" xfId="0" applyNumberFormat="1" applyFont="1" applyFill="1" applyBorder="1" applyAlignment="1">
      <alignmen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8" fillId="11"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5" fontId="7" fillId="11"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3"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11"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64" fontId="0" fillId="0" borderId="0" xfId="1" quotePrefix="1" applyNumberFormat="1" applyFont="1" applyBorder="1" applyAlignment="1">
      <alignment horizontal="center" vertical="center" wrapText="1"/>
    </xf>
    <xf numFmtId="164" fontId="0" fillId="0" borderId="0" xfId="1" applyNumberFormat="1" applyFont="1" applyFill="1" applyBorder="1" applyAlignment="1">
      <alignment horizontal="left" vertical="center" wrapText="1"/>
    </xf>
    <xf numFmtId="174" fontId="0" fillId="0" borderId="0" xfId="0" applyNumberForma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wrapText="1"/>
    </xf>
    <xf numFmtId="6" fontId="32" fillId="0" borderId="0" xfId="0" applyNumberFormat="1" applyFont="1" applyAlignment="1">
      <alignment horizontal="center" vertical="center"/>
    </xf>
    <xf numFmtId="164" fontId="11" fillId="0" borderId="32" xfId="1" applyNumberFormat="1" applyFont="1" applyFill="1" applyBorder="1" applyAlignment="1">
      <alignment horizontal="left" vertical="center" wrapText="1"/>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5" fontId="7" fillId="11" borderId="30" xfId="0" applyNumberFormat="1" applyFont="1" applyFill="1" applyBorder="1" applyAlignment="1">
      <alignment vertical="center"/>
    </xf>
    <xf numFmtId="0" fontId="32" fillId="0" borderId="0" xfId="0" applyFont="1"/>
    <xf numFmtId="0" fontId="32" fillId="0" borderId="0" xfId="0" quotePrefix="1" applyFont="1" applyAlignment="1">
      <alignment horizontal="center"/>
    </xf>
    <xf numFmtId="0" fontId="32" fillId="0" borderId="31" xfId="0" applyFont="1" applyBorder="1"/>
    <xf numFmtId="167" fontId="34" fillId="0" borderId="31" xfId="3" applyNumberFormat="1" applyFont="1" applyBorder="1"/>
    <xf numFmtId="0" fontId="32" fillId="0" borderId="28" xfId="0" applyFont="1" applyBorder="1"/>
    <xf numFmtId="167" fontId="34" fillId="0" borderId="28" xfId="3" applyNumberFormat="1" applyFont="1" applyBorder="1"/>
    <xf numFmtId="0" fontId="32" fillId="0" borderId="26" xfId="0" applyFont="1" applyFill="1" applyBorder="1"/>
    <xf numFmtId="0" fontId="22" fillId="0" borderId="7" xfId="0" applyFont="1" applyBorder="1" applyAlignment="1">
      <alignment horizontal="center" vertical="center" wrapText="1"/>
    </xf>
    <xf numFmtId="167" fontId="38" fillId="11" borderId="7" xfId="3" applyNumberFormat="1" applyFont="1" applyFill="1" applyBorder="1"/>
    <xf numFmtId="167" fontId="34" fillId="0" borderId="5" xfId="3" applyNumberFormat="1" applyFont="1" applyBorder="1"/>
    <xf numFmtId="167" fontId="34" fillId="0" borderId="25" xfId="3" applyNumberFormat="1" applyFont="1" applyBorder="1"/>
    <xf numFmtId="167" fontId="34" fillId="0" borderId="26" xfId="3" applyNumberFormat="1" applyFont="1" applyBorder="1"/>
    <xf numFmtId="0" fontId="32" fillId="0" borderId="0" xfId="0" applyFont="1" applyBorder="1"/>
    <xf numFmtId="167" fontId="32" fillId="0" borderId="26" xfId="0" applyNumberFormat="1" applyFont="1" applyBorder="1"/>
    <xf numFmtId="0" fontId="32" fillId="0" borderId="10" xfId="0" applyFont="1" applyBorder="1"/>
    <xf numFmtId="167" fontId="35" fillId="0" borderId="29" xfId="3" applyNumberFormat="1" applyFont="1" applyBorder="1"/>
    <xf numFmtId="0" fontId="32" fillId="0" borderId="29" xfId="0" applyFont="1" applyBorder="1"/>
    <xf numFmtId="167" fontId="35" fillId="0" borderId="31" xfId="3" applyNumberFormat="1" applyFont="1" applyBorder="1"/>
    <xf numFmtId="0" fontId="22" fillId="11" borderId="7" xfId="0" applyFont="1" applyFill="1" applyBorder="1" applyAlignment="1">
      <alignment horizontal="center"/>
    </xf>
    <xf numFmtId="167" fontId="34" fillId="0" borderId="25" xfId="3" applyNumberFormat="1" applyFont="1" applyFill="1" applyBorder="1"/>
    <xf numFmtId="167" fontId="38" fillId="0" borderId="25" xfId="3" applyNumberFormat="1" applyFont="1" applyFill="1" applyBorder="1"/>
    <xf numFmtId="167" fontId="34" fillId="0" borderId="0" xfId="3" applyNumberFormat="1" applyFont="1" applyBorder="1"/>
    <xf numFmtId="167" fontId="34" fillId="0" borderId="29" xfId="3" applyNumberFormat="1" applyFont="1" applyBorder="1"/>
    <xf numFmtId="167" fontId="34" fillId="0" borderId="6" xfId="3" applyNumberFormat="1" applyFont="1" applyFill="1" applyBorder="1"/>
    <xf numFmtId="167" fontId="34" fillId="0" borderId="0" xfId="3" applyNumberFormat="1" applyFont="1" applyFill="1" applyBorder="1"/>
    <xf numFmtId="167" fontId="38" fillId="0" borderId="0" xfId="3" applyNumberFormat="1" applyFont="1" applyFill="1" applyBorder="1"/>
    <xf numFmtId="167" fontId="32" fillId="0" borderId="29" xfId="0" applyNumberFormat="1" applyFont="1" applyBorder="1"/>
    <xf numFmtId="0" fontId="32" fillId="0" borderId="0" xfId="0" applyFont="1" applyFill="1"/>
    <xf numFmtId="0" fontId="32" fillId="0" borderId="6" xfId="0" applyFont="1" applyFill="1" applyBorder="1"/>
    <xf numFmtId="0" fontId="32" fillId="0" borderId="0" xfId="0" applyFont="1" applyFill="1" applyBorder="1"/>
    <xf numFmtId="0" fontId="22" fillId="0" borderId="0" xfId="0" applyFont="1" applyFill="1" applyBorder="1"/>
    <xf numFmtId="0" fontId="22" fillId="0" borderId="0" xfId="0" applyFont="1" applyFill="1" applyBorder="1" applyAlignment="1">
      <alignment vertical="center"/>
    </xf>
    <xf numFmtId="0" fontId="22" fillId="0" borderId="8" xfId="0" applyFont="1" applyFill="1" applyBorder="1" applyAlignment="1"/>
    <xf numFmtId="0" fontId="22" fillId="0" borderId="0" xfId="0" applyFont="1" applyBorder="1"/>
    <xf numFmtId="0" fontId="22" fillId="0" borderId="26" xfId="0" applyFont="1" applyFill="1" applyBorder="1" applyAlignment="1">
      <alignment horizontal="center" vertical="center" wrapText="1"/>
    </xf>
    <xf numFmtId="167" fontId="34" fillId="0" borderId="26" xfId="3" applyNumberFormat="1" applyFont="1" applyFill="1" applyBorder="1"/>
    <xf numFmtId="167" fontId="32" fillId="0" borderId="26" xfId="0" applyNumberFormat="1" applyFont="1" applyFill="1" applyBorder="1"/>
    <xf numFmtId="167" fontId="38" fillId="0" borderId="26" xfId="3" applyNumberFormat="1" applyFont="1" applyFill="1" applyBorder="1"/>
    <xf numFmtId="0" fontId="22" fillId="0" borderId="25" xfId="0" applyFont="1" applyFill="1" applyBorder="1" applyAlignment="1">
      <alignment horizontal="center" vertical="center"/>
    </xf>
    <xf numFmtId="0" fontId="22" fillId="0" borderId="25" xfId="0" applyFont="1" applyBorder="1" applyAlignment="1">
      <alignment horizontal="center" vertical="center" wrapText="1"/>
    </xf>
    <xf numFmtId="167" fontId="32" fillId="0" borderId="25" xfId="0" applyNumberFormat="1" applyFont="1" applyFill="1" applyBorder="1"/>
    <xf numFmtId="0" fontId="32" fillId="0" borderId="25" xfId="0" applyFont="1" applyFill="1" applyBorder="1"/>
    <xf numFmtId="0" fontId="22" fillId="0" borderId="0" xfId="0" applyFont="1" applyFill="1" applyBorder="1" applyAlignment="1"/>
    <xf numFmtId="0" fontId="22" fillId="0" borderId="0" xfId="0" applyFont="1" applyBorder="1" applyAlignment="1">
      <alignment horizontal="center" vertical="center" wrapText="1"/>
    </xf>
    <xf numFmtId="167" fontId="32" fillId="0" borderId="0" xfId="0" applyNumberFormat="1" applyFont="1" applyFill="1" applyBorder="1"/>
    <xf numFmtId="167" fontId="35" fillId="0" borderId="28" xfId="3" applyNumberFormat="1" applyFont="1" applyBorder="1"/>
    <xf numFmtId="0" fontId="25" fillId="0" borderId="0" xfId="0" applyFont="1" applyAlignment="1">
      <alignment horizontal="center" vertical="center" wrapText="1"/>
    </xf>
    <xf numFmtId="0" fontId="22" fillId="11" borderId="1" xfId="0" applyFont="1" applyFill="1" applyBorder="1" applyAlignment="1">
      <alignment horizontal="center" vertical="center"/>
    </xf>
    <xf numFmtId="0" fontId="22" fillId="11" borderId="3" xfId="0" applyFont="1" applyFill="1" applyBorder="1" applyAlignment="1">
      <alignment horizontal="center" vertical="center"/>
    </xf>
    <xf numFmtId="0" fontId="33" fillId="0" borderId="0" xfId="0" applyFont="1" applyAlignment="1">
      <alignment horizont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0" fontId="33" fillId="0" borderId="0" xfId="0" applyFont="1" applyAlignment="1">
      <alignment horizontal="center" vertical="center"/>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2" fillId="0" borderId="0" xfId="0" applyFont="1" applyAlignment="1">
      <alignment horizontal="center" vertical="center"/>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5" xfId="0" applyFill="1" applyBorder="1" applyAlignment="1">
      <alignment horizontal="center" vertical="center" wrapText="1"/>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11" borderId="79" xfId="0" applyFont="1" applyFill="1" applyBorder="1" applyAlignment="1">
      <alignment horizontal="center" vertical="center"/>
    </xf>
    <xf numFmtId="0" fontId="26" fillId="11" borderId="81" xfId="0" applyFont="1" applyFill="1" applyBorder="1" applyAlignment="1">
      <alignment horizontal="center"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43" fontId="23" fillId="0" borderId="18" xfId="3" applyFont="1" applyFill="1" applyBorder="1" applyAlignment="1">
      <alignment horizontal="left" vertical="center" wrapText="1"/>
    </xf>
    <xf numFmtId="43" fontId="23" fillId="0" borderId="19" xfId="3" applyFont="1" applyFill="1" applyBorder="1" applyAlignment="1">
      <alignment horizontal="left" vertical="center" wrapText="1"/>
    </xf>
    <xf numFmtId="43" fontId="25" fillId="0" borderId="0" xfId="3" applyFont="1" applyAlignment="1">
      <alignment horizontal="center" vertical="center" wrapText="1"/>
    </xf>
    <xf numFmtId="164" fontId="7" fillId="0" borderId="98" xfId="1" applyNumberFormat="1" applyFont="1" applyFill="1" applyBorder="1" applyAlignment="1">
      <alignmen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FFFFCC"/>
      <color rgb="FF99FFCC"/>
      <color rgb="FFCCCC00"/>
      <color rgb="FFFFCC66"/>
      <color rgb="FFFF99FF"/>
      <color rgb="FFFFFF99"/>
      <color rgb="FFCCFFCC"/>
      <color rgb="FFF8F8F8"/>
      <color rgb="FF8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4008"/>
          <c:h val="0.79804560260587787"/>
        </c:manualLayout>
      </c:layout>
      <c:pieChart>
        <c:varyColors val="1"/>
        <c:ser>
          <c:idx val="0"/>
          <c:order val="0"/>
          <c:dLbls>
            <c:dLblPos val="ctr"/>
            <c:showVal val="1"/>
            <c:showLeaderLines val="1"/>
          </c:dLbls>
          <c:cat>
            <c:strRef>
              <c:f>'New Year-Full Year'!$AD$4:$AG$4</c:f>
              <c:strCache>
                <c:ptCount val="4"/>
                <c:pt idx="0">
                  <c:v>Love Jesus</c:v>
                </c:pt>
                <c:pt idx="1">
                  <c:v>Changing Lives</c:v>
                </c:pt>
                <c:pt idx="2">
                  <c:v>Reaching Out</c:v>
                </c:pt>
                <c:pt idx="3">
                  <c:v>Building</c:v>
                </c:pt>
              </c:strCache>
            </c:strRef>
          </c:cat>
          <c:val>
            <c:numRef>
              <c:f>'New Year-Full Year'!$AD$222:$AG$222</c:f>
              <c:numCache>
                <c:formatCode>_("$"* #,##0_);_("$"* \(#,##0\);_("$"* "-"??_);_(@_)</c:formatCode>
                <c:ptCount val="4"/>
                <c:pt idx="0">
                  <c:v>154722.76800000001</c:v>
                </c:pt>
                <c:pt idx="1">
                  <c:v>94765.018000000011</c:v>
                </c:pt>
                <c:pt idx="2">
                  <c:v>121852.16400000003</c:v>
                </c:pt>
                <c:pt idx="3">
                  <c:v>113345.04999999999</c:v>
                </c:pt>
              </c:numCache>
            </c:numRef>
          </c:val>
        </c:ser>
        <c:firstSliceAng val="0"/>
      </c:pieChart>
    </c:plotArea>
    <c:legend>
      <c:legendPos val="r"/>
    </c:legend>
    <c:plotVisOnly val="1"/>
  </c:chart>
  <c:printSettings>
    <c:headerFooter/>
    <c:pageMargins b="0.75000000000000633" l="0.70000000000000062" r="0.70000000000000062" t="0.750000000000006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3953"/>
          <c:h val="0.7980456026058792"/>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224</xdr:row>
      <xdr:rowOff>6350</xdr:rowOff>
    </xdr:from>
    <xdr:to>
      <xdr:col>34</xdr:col>
      <xdr:colOff>82550</xdr:colOff>
      <xdr:row>245</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15"/>
  <sheetViews>
    <sheetView showGridLines="0" tabSelected="1" workbookViewId="0">
      <selection activeCell="B4" sqref="B4"/>
    </sheetView>
  </sheetViews>
  <sheetFormatPr defaultRowHeight="14.5"/>
  <cols>
    <col min="2" max="2" width="31.36328125" customWidth="1"/>
    <col min="6" max="6" width="10.453125" customWidth="1"/>
  </cols>
  <sheetData>
    <row r="1" spans="1:9" ht="23.5">
      <c r="A1" s="804" t="s">
        <v>87</v>
      </c>
      <c r="B1" s="804"/>
      <c r="C1" s="804"/>
      <c r="D1" s="804"/>
      <c r="E1" s="804"/>
      <c r="F1" s="804"/>
      <c r="G1" s="804"/>
    </row>
    <row r="4" spans="1:9" ht="29.5" customHeight="1">
      <c r="C4" s="794" t="str">
        <f>Bud_Yr&amp;" Budget"</f>
        <v>2021 Budget</v>
      </c>
      <c r="D4" s="795" t="s">
        <v>552</v>
      </c>
      <c r="E4" s="795" t="str">
        <f>Bud_Yr-1&amp;" Budget"</f>
        <v>2020 Budget</v>
      </c>
      <c r="F4" s="788" t="str">
        <f>Bud_Yr&amp;" Budget vs             "&amp;Bud_Yr-1&amp;" Budget"</f>
        <v>2021 Budget vs             2020 Budget</v>
      </c>
      <c r="G4" s="789"/>
    </row>
    <row r="5" spans="1:9">
      <c r="C5" s="802"/>
      <c r="D5" s="782"/>
      <c r="E5" s="803"/>
      <c r="F5" s="587" t="s">
        <v>113</v>
      </c>
      <c r="G5" s="588" t="s">
        <v>114</v>
      </c>
    </row>
    <row r="6" spans="1:9">
      <c r="B6" s="589" t="s">
        <v>417</v>
      </c>
      <c r="C6" s="876">
        <f>+E6</f>
        <v>28790</v>
      </c>
      <c r="D6" s="876">
        <f>+E6+1500</f>
        <v>30290</v>
      </c>
      <c r="E6" s="590">
        <v>28790</v>
      </c>
      <c r="F6" s="591">
        <f t="shared" ref="F6:F14" si="0">+C6-E6</f>
        <v>0</v>
      </c>
      <c r="G6" s="592">
        <f t="shared" ref="G6:G14" si="1">IF(E6=0,"NA",(+C6-E6)/E6)</f>
        <v>0</v>
      </c>
      <c r="I6" s="627"/>
    </row>
    <row r="7" spans="1:9">
      <c r="B7" s="593" t="s">
        <v>418</v>
      </c>
      <c r="C7" s="590">
        <v>3000</v>
      </c>
      <c r="D7" s="876">
        <f>+E7</f>
        <v>6000</v>
      </c>
      <c r="E7" s="590">
        <v>6000</v>
      </c>
      <c r="F7" s="246">
        <f t="shared" si="0"/>
        <v>-3000</v>
      </c>
      <c r="G7" s="594">
        <f t="shared" si="1"/>
        <v>-0.5</v>
      </c>
    </row>
    <row r="8" spans="1:9">
      <c r="B8" s="593" t="s">
        <v>419</v>
      </c>
      <c r="C8" s="876">
        <f>+E8+500</f>
        <v>1000</v>
      </c>
      <c r="D8" s="876">
        <f>+E8+1000</f>
        <v>1500</v>
      </c>
      <c r="E8" s="590">
        <v>500</v>
      </c>
      <c r="F8" s="246">
        <f t="shared" si="0"/>
        <v>500</v>
      </c>
      <c r="G8" s="594">
        <f t="shared" si="1"/>
        <v>1</v>
      </c>
    </row>
    <row r="9" spans="1:9">
      <c r="B9" s="593" t="s">
        <v>427</v>
      </c>
      <c r="C9" s="876">
        <f>+E9+1000</f>
        <v>2000</v>
      </c>
      <c r="D9" s="876">
        <f>+E9+1000</f>
        <v>2000</v>
      </c>
      <c r="E9" s="590">
        <v>1000</v>
      </c>
      <c r="F9" s="246">
        <f t="shared" si="0"/>
        <v>1000</v>
      </c>
      <c r="G9" s="594">
        <f t="shared" si="1"/>
        <v>1</v>
      </c>
    </row>
    <row r="10" spans="1:9">
      <c r="B10" s="593" t="s">
        <v>420</v>
      </c>
      <c r="C10" s="876">
        <f t="shared" ref="C10:C16" si="2">+E10</f>
        <v>750</v>
      </c>
      <c r="D10" s="876">
        <f>+E10</f>
        <v>750</v>
      </c>
      <c r="E10" s="590">
        <v>750</v>
      </c>
      <c r="F10" s="246">
        <f t="shared" si="0"/>
        <v>0</v>
      </c>
      <c r="G10" s="594">
        <f t="shared" si="1"/>
        <v>0</v>
      </c>
    </row>
    <row r="11" spans="1:9">
      <c r="B11" s="593" t="s">
        <v>421</v>
      </c>
      <c r="C11" s="876">
        <f>+E11+500</f>
        <v>1000</v>
      </c>
      <c r="D11" s="876">
        <f>+E11+1000</f>
        <v>1500</v>
      </c>
      <c r="E11" s="590">
        <v>500</v>
      </c>
      <c r="F11" s="246">
        <f t="shared" si="0"/>
        <v>500</v>
      </c>
      <c r="G11" s="594">
        <f t="shared" si="1"/>
        <v>1</v>
      </c>
    </row>
    <row r="12" spans="1:9">
      <c r="B12" s="593" t="s">
        <v>422</v>
      </c>
      <c r="C12" s="876">
        <f>+E12+500</f>
        <v>1500</v>
      </c>
      <c r="D12" s="876">
        <f>+E12+500</f>
        <v>1500</v>
      </c>
      <c r="E12" s="590">
        <v>1000</v>
      </c>
      <c r="F12" s="246">
        <f t="shared" si="0"/>
        <v>500</v>
      </c>
      <c r="G12" s="594">
        <f t="shared" si="1"/>
        <v>0.5</v>
      </c>
    </row>
    <row r="13" spans="1:9">
      <c r="B13" s="593" t="s">
        <v>423</v>
      </c>
      <c r="C13" s="876">
        <f>+E13+500</f>
        <v>1500</v>
      </c>
      <c r="D13" s="876">
        <f>+E13+1000</f>
        <v>2000</v>
      </c>
      <c r="E13" s="590">
        <v>1000</v>
      </c>
      <c r="F13" s="246">
        <f t="shared" si="0"/>
        <v>500</v>
      </c>
      <c r="G13" s="594">
        <f t="shared" si="1"/>
        <v>0.5</v>
      </c>
    </row>
    <row r="14" spans="1:9">
      <c r="B14" s="593" t="s">
        <v>424</v>
      </c>
      <c r="C14" s="876">
        <f t="shared" si="2"/>
        <v>500</v>
      </c>
      <c r="D14" s="876">
        <f>+E14+500</f>
        <v>1000</v>
      </c>
      <c r="E14" s="590">
        <v>500</v>
      </c>
      <c r="F14" s="246">
        <f t="shared" si="0"/>
        <v>0</v>
      </c>
      <c r="G14" s="594">
        <f t="shared" si="1"/>
        <v>0</v>
      </c>
    </row>
    <row r="15" spans="1:9">
      <c r="B15" s="595" t="s">
        <v>170</v>
      </c>
      <c r="C15" s="596">
        <f>+SUM(C6:C14)</f>
        <v>40040</v>
      </c>
      <c r="D15" s="596">
        <f>+SUM(D6:D14)</f>
        <v>46540</v>
      </c>
      <c r="E15" s="596">
        <f>+SUM(E6:E14)</f>
        <v>40040</v>
      </c>
      <c r="F15" s="596">
        <f>+SUM(F6:F14)</f>
        <v>0</v>
      </c>
      <c r="G15" s="597"/>
    </row>
  </sheetData>
  <mergeCells count="5">
    <mergeCell ref="A1:G1"/>
    <mergeCell ref="C4:C5"/>
    <mergeCell ref="D4:D5"/>
    <mergeCell ref="E4:E5"/>
    <mergeCell ref="F4:G4"/>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R68"/>
  <sheetViews>
    <sheetView showGridLines="0" topLeftCell="A43" workbookViewId="0">
      <selection activeCell="F11" sqref="F11:H14"/>
    </sheetView>
  </sheetViews>
  <sheetFormatPr defaultRowHeight="14.5"/>
  <cols>
    <col min="1" max="1" width="10" style="144" customWidth="1"/>
    <col min="2" max="2" width="36.1796875" style="144" customWidth="1"/>
    <col min="3" max="3" width="13.90625" style="214" customWidth="1"/>
    <col min="4" max="5" width="13.90625" style="144" customWidth="1"/>
    <col min="6" max="6" width="8.7265625" style="144"/>
    <col min="7" max="7" width="13.54296875" style="144" bestFit="1" customWidth="1"/>
    <col min="8" max="8" width="10.453125" style="144" bestFit="1" customWidth="1"/>
    <col min="9" max="16384" width="8.7265625" style="144"/>
  </cols>
  <sheetData>
    <row r="1" spans="1:18" ht="21">
      <c r="A1" s="816" t="s">
        <v>454</v>
      </c>
      <c r="B1" s="816"/>
      <c r="C1" s="816"/>
      <c r="D1" s="816"/>
      <c r="E1" s="816"/>
      <c r="F1" s="816"/>
      <c r="G1" s="816"/>
      <c r="H1" s="816"/>
      <c r="I1" s="359"/>
      <c r="J1" s="359"/>
    </row>
    <row r="2" spans="1:18" ht="21" hidden="1">
      <c r="B2" s="816"/>
      <c r="C2" s="816"/>
      <c r="D2" s="816"/>
      <c r="E2" s="359"/>
      <c r="F2" s="359"/>
      <c r="G2" s="359"/>
      <c r="H2" s="359"/>
      <c r="I2" s="359"/>
      <c r="J2" s="359"/>
    </row>
    <row r="3" spans="1:18" hidden="1">
      <c r="B3" s="215" t="s">
        <v>428</v>
      </c>
      <c r="C3" s="181"/>
      <c r="D3" s="194"/>
      <c r="E3" s="195"/>
    </row>
    <row r="4" spans="1:18" hidden="1">
      <c r="B4" s="194" t="s">
        <v>409</v>
      </c>
      <c r="C4" s="473">
        <f>20808*(1+'New Year-Full Year'!F$106)</f>
        <v>21016.080000000002</v>
      </c>
      <c r="D4" s="475"/>
      <c r="E4" s="195"/>
    </row>
    <row r="5" spans="1:18" hidden="1">
      <c r="B5" s="194" t="s">
        <v>410</v>
      </c>
      <c r="C5" s="473">
        <f>45000*(1+'New Year-Full Year'!F$106)</f>
        <v>45450</v>
      </c>
      <c r="D5" s="475"/>
      <c r="E5" s="195"/>
    </row>
    <row r="6" spans="1:18" hidden="1">
      <c r="B6" s="194" t="s">
        <v>382</v>
      </c>
      <c r="C6" s="473">
        <f>(+C4+C5)*C25</f>
        <v>5084.6551200000004</v>
      </c>
      <c r="D6" s="475"/>
      <c r="E6" s="195"/>
    </row>
    <row r="7" spans="1:18" hidden="1">
      <c r="B7" s="194" t="s">
        <v>383</v>
      </c>
      <c r="C7" s="473">
        <f>+'New Year-Full Year'!Q135+'New Year-Full Year'!Q136+'New Year-Full Year'!Q137+'New Year-Full Year'!Q138+'New Year-Full Year'!Q139</f>
        <v>200</v>
      </c>
      <c r="D7" s="475"/>
      <c r="E7" s="195"/>
    </row>
    <row r="8" spans="1:18" hidden="1">
      <c r="B8" s="194" t="s">
        <v>384</v>
      </c>
      <c r="C8" s="473">
        <f>+'New Year-Full Year'!Q189</f>
        <v>250</v>
      </c>
      <c r="D8" s="475"/>
      <c r="E8" s="195"/>
    </row>
    <row r="9" spans="1:18" ht="15" hidden="1" customHeight="1">
      <c r="B9" s="194" t="s">
        <v>170</v>
      </c>
      <c r="C9" s="184">
        <f>SUM(C4:C8)</f>
        <v>72000.735119999998</v>
      </c>
      <c r="D9" s="476"/>
      <c r="E9" s="195"/>
    </row>
    <row r="10" spans="1:18" ht="10" customHeight="1">
      <c r="B10" s="195"/>
      <c r="C10" s="162"/>
      <c r="D10" s="162"/>
      <c r="E10" s="335"/>
    </row>
    <row r="11" spans="1:18" ht="29.5" customHeight="1">
      <c r="C11" s="467" t="s">
        <v>443</v>
      </c>
      <c r="D11" s="233" t="s">
        <v>331</v>
      </c>
      <c r="E11" s="679" t="s">
        <v>450</v>
      </c>
      <c r="F11" s="817" t="s">
        <v>448</v>
      </c>
      <c r="G11" s="818"/>
      <c r="H11" s="818"/>
    </row>
    <row r="12" spans="1:18" ht="14.5" customHeight="1">
      <c r="A12" s="813" t="s">
        <v>449</v>
      </c>
      <c r="B12" s="479" t="s">
        <v>42</v>
      </c>
      <c r="C12" s="468">
        <f>+C14-C13</f>
        <v>40802</v>
      </c>
      <c r="D12" s="437">
        <f>+D14-D13</f>
        <v>40802</v>
      </c>
      <c r="E12" s="184">
        <f>+E14-E13</f>
        <v>42687</v>
      </c>
      <c r="F12" s="817"/>
      <c r="G12" s="818"/>
      <c r="H12" s="818"/>
    </row>
    <row r="13" spans="1:18" ht="15" thickBot="1">
      <c r="A13" s="814"/>
      <c r="B13" s="182" t="s">
        <v>168</v>
      </c>
      <c r="C13" s="189">
        <f>ROUND(+C14*0.3,0)</f>
        <v>17487</v>
      </c>
      <c r="D13" s="149">
        <f>ROUND(+D14*0.3,0)</f>
        <v>17487</v>
      </c>
      <c r="E13" s="471">
        <v>20000</v>
      </c>
      <c r="F13" s="817"/>
      <c r="G13" s="818"/>
      <c r="H13" s="818"/>
    </row>
    <row r="14" spans="1:18" ht="14.5" customHeight="1">
      <c r="A14" s="814"/>
      <c r="B14" s="182" t="s">
        <v>170</v>
      </c>
      <c r="C14" s="469">
        <v>58289</v>
      </c>
      <c r="D14" s="436">
        <v>58289</v>
      </c>
      <c r="E14" s="193">
        <f>+ROUND((62066*1.01),0)</f>
        <v>62687</v>
      </c>
      <c r="F14" s="817"/>
      <c r="G14" s="818"/>
      <c r="H14" s="818"/>
    </row>
    <row r="15" spans="1:18" ht="5.5" customHeight="1">
      <c r="A15" s="814"/>
      <c r="B15" s="194"/>
      <c r="C15" s="187"/>
      <c r="D15" s="148"/>
      <c r="E15" s="187"/>
      <c r="H15" s="144" t="s">
        <v>446</v>
      </c>
      <c r="I15" s="195"/>
      <c r="J15" s="195"/>
      <c r="K15" s="195"/>
      <c r="L15" s="195"/>
      <c r="M15" s="195"/>
      <c r="N15" s="195"/>
      <c r="O15" s="195"/>
      <c r="P15" s="195"/>
      <c r="Q15" s="195"/>
      <c r="R15" s="195"/>
    </row>
    <row r="16" spans="1:18">
      <c r="A16" s="814"/>
      <c r="B16" s="182" t="s">
        <v>184</v>
      </c>
      <c r="C16" s="470">
        <v>1</v>
      </c>
      <c r="D16" s="434">
        <v>0.5</v>
      </c>
      <c r="E16" s="197">
        <v>1</v>
      </c>
      <c r="I16" s="195"/>
      <c r="J16" s="195"/>
      <c r="K16" s="195"/>
      <c r="L16" s="195"/>
      <c r="M16" s="195"/>
      <c r="N16" s="195"/>
      <c r="O16" s="195"/>
      <c r="P16" s="195"/>
      <c r="Q16" s="195"/>
      <c r="R16" s="195"/>
    </row>
    <row r="17" spans="1:18" ht="14.5" hidden="1" customHeight="1">
      <c r="A17" s="814"/>
      <c r="B17" s="194"/>
      <c r="C17" s="187"/>
      <c r="D17" s="148"/>
      <c r="E17" s="187"/>
      <c r="I17" s="195"/>
      <c r="J17" s="195"/>
      <c r="K17" s="195"/>
      <c r="L17" s="195"/>
      <c r="M17" s="195"/>
      <c r="N17" s="195"/>
      <c r="O17" s="195"/>
      <c r="P17" s="195"/>
      <c r="Q17" s="195"/>
      <c r="R17" s="195"/>
    </row>
    <row r="18" spans="1:18">
      <c r="A18" s="814"/>
      <c r="B18" s="182" t="s">
        <v>200</v>
      </c>
      <c r="C18" s="449">
        <v>0</v>
      </c>
      <c r="D18" s="454">
        <v>0</v>
      </c>
      <c r="E18" s="200">
        <v>0</v>
      </c>
      <c r="I18" s="195"/>
      <c r="J18" s="195"/>
      <c r="K18" s="195"/>
      <c r="L18" s="195"/>
      <c r="M18" s="195"/>
      <c r="N18" s="195"/>
      <c r="O18" s="195"/>
      <c r="P18" s="195"/>
      <c r="Q18" s="195"/>
      <c r="R18" s="195"/>
    </row>
    <row r="19" spans="1:18">
      <c r="A19" s="814"/>
      <c r="B19" s="201" t="s">
        <v>198</v>
      </c>
      <c r="C19" s="439">
        <f>ROUND(+C14*(1+C18)*C16,0)</f>
        <v>58289</v>
      </c>
      <c r="D19" s="153">
        <f>ROUND(+D14*(1+D18)*D16,0)</f>
        <v>29145</v>
      </c>
      <c r="E19" s="614">
        <f>ROUND(+E14*(1+E18)*E16,0)</f>
        <v>62687</v>
      </c>
      <c r="I19" s="195"/>
      <c r="J19" s="195"/>
      <c r="K19" s="195"/>
      <c r="L19" s="195"/>
      <c r="M19" s="127"/>
      <c r="N19" s="223"/>
      <c r="O19" s="195"/>
      <c r="P19" s="195"/>
      <c r="Q19" s="195"/>
      <c r="R19" s="195"/>
    </row>
    <row r="20" spans="1:18" ht="10" customHeight="1">
      <c r="A20" s="814"/>
      <c r="B20" s="819" t="s">
        <v>445</v>
      </c>
      <c r="C20" s="187"/>
      <c r="D20" s="148"/>
      <c r="E20" s="187"/>
      <c r="I20" s="195"/>
      <c r="J20" s="195"/>
      <c r="K20" s="195"/>
      <c r="L20" s="195"/>
      <c r="M20" s="127"/>
      <c r="N20" s="195"/>
      <c r="O20" s="195"/>
      <c r="P20" s="195"/>
      <c r="Q20" s="195"/>
      <c r="R20" s="195"/>
    </row>
    <row r="21" spans="1:18">
      <c r="A21" s="814"/>
      <c r="B21" s="819"/>
      <c r="C21" s="206">
        <f>+C38</f>
        <v>0</v>
      </c>
      <c r="D21" s="143">
        <f>+D38</f>
        <v>0</v>
      </c>
      <c r="E21" s="206">
        <f>+E38</f>
        <v>2400</v>
      </c>
      <c r="I21" s="195"/>
      <c r="J21" s="195"/>
      <c r="K21" s="195"/>
      <c r="L21" s="195"/>
      <c r="M21" s="128"/>
      <c r="N21" s="195"/>
      <c r="O21" s="195"/>
      <c r="P21" s="195"/>
      <c r="Q21" s="195"/>
      <c r="R21" s="195"/>
    </row>
    <row r="22" spans="1:18" ht="8.5" customHeight="1">
      <c r="A22" s="814"/>
      <c r="B22" s="819"/>
      <c r="C22" s="187"/>
      <c r="D22" s="148"/>
      <c r="E22" s="187"/>
      <c r="I22" s="239"/>
      <c r="J22" s="239"/>
      <c r="K22" s="195"/>
      <c r="L22" s="195"/>
      <c r="M22" s="613"/>
      <c r="N22" s="195"/>
      <c r="O22" s="195"/>
      <c r="P22" s="195"/>
      <c r="Q22" s="195"/>
      <c r="R22" s="195"/>
    </row>
    <row r="23" spans="1:18">
      <c r="A23" s="814"/>
      <c r="B23" s="201" t="s">
        <v>198</v>
      </c>
      <c r="C23" s="439">
        <f>+C19+C21</f>
        <v>58289</v>
      </c>
      <c r="D23" s="153">
        <f>+D19+D21</f>
        <v>29145</v>
      </c>
      <c r="E23" s="614">
        <f>+E19+E21</f>
        <v>65087</v>
      </c>
      <c r="I23" s="195"/>
      <c r="J23" s="195"/>
      <c r="K23" s="195"/>
      <c r="L23" s="195"/>
      <c r="M23" s="218"/>
      <c r="N23" s="195"/>
      <c r="O23" s="195"/>
      <c r="P23" s="195"/>
      <c r="Q23" s="195"/>
      <c r="R23" s="195"/>
    </row>
    <row r="24" spans="1:18" ht="6.5" customHeight="1">
      <c r="A24" s="814"/>
      <c r="B24" s="194"/>
      <c r="C24" s="187"/>
      <c r="D24" s="148"/>
      <c r="E24" s="187"/>
      <c r="I24" s="195"/>
      <c r="J24" s="195"/>
      <c r="K24" s="195"/>
      <c r="L24" s="195"/>
      <c r="M24" s="195"/>
      <c r="N24" s="195"/>
      <c r="O24" s="195"/>
      <c r="P24" s="195"/>
      <c r="Q24" s="195"/>
      <c r="R24" s="195"/>
    </row>
    <row r="25" spans="1:18">
      <c r="A25" s="814"/>
      <c r="B25" s="194" t="s">
        <v>453</v>
      </c>
      <c r="C25" s="208">
        <v>7.6499999999999999E-2</v>
      </c>
      <c r="D25" s="142">
        <v>7.6499999999999999E-2</v>
      </c>
      <c r="E25" s="208">
        <v>7.6499999999999999E-2</v>
      </c>
      <c r="F25" s="144" t="s">
        <v>452</v>
      </c>
      <c r="G25" s="583"/>
      <c r="I25" s="195"/>
      <c r="J25" s="195"/>
      <c r="K25" s="195"/>
      <c r="L25" s="195"/>
      <c r="M25" s="127"/>
      <c r="N25" s="195"/>
      <c r="O25" s="195"/>
      <c r="P25" s="195"/>
      <c r="Q25" s="195"/>
      <c r="R25" s="195"/>
    </row>
    <row r="26" spans="1:18" ht="3.5" customHeight="1">
      <c r="A26" s="814"/>
      <c r="B26" s="194"/>
      <c r="C26" s="187"/>
      <c r="D26" s="148"/>
      <c r="E26" s="187"/>
      <c r="I26" s="239"/>
      <c r="J26" s="239"/>
      <c r="K26" s="195"/>
      <c r="L26" s="195"/>
      <c r="M26" s="613"/>
      <c r="N26" s="195"/>
      <c r="O26" s="195"/>
      <c r="P26" s="195"/>
      <c r="Q26" s="195"/>
      <c r="R26" s="195"/>
    </row>
    <row r="27" spans="1:18" ht="14.5" hidden="1" customHeight="1">
      <c r="A27" s="814"/>
      <c r="B27" s="194"/>
      <c r="C27" s="187"/>
      <c r="D27" s="148"/>
      <c r="E27" s="187"/>
      <c r="I27" s="239"/>
      <c r="J27" s="239"/>
      <c r="K27" s="225"/>
      <c r="L27" s="195"/>
      <c r="M27" s="218"/>
      <c r="N27" s="195"/>
      <c r="O27" s="195"/>
      <c r="P27" s="195"/>
      <c r="Q27" s="195"/>
      <c r="R27" s="195"/>
    </row>
    <row r="28" spans="1:18">
      <c r="A28" s="814"/>
      <c r="B28" s="194" t="s">
        <v>361</v>
      </c>
      <c r="C28" s="206">
        <f>ROUND(+C23*C25,0)</f>
        <v>4459</v>
      </c>
      <c r="D28" s="143">
        <f>ROUND(+D23*D25,0)</f>
        <v>2230</v>
      </c>
      <c r="E28" s="206">
        <f>ROUND(+E23*E25,0)</f>
        <v>4979</v>
      </c>
      <c r="F28" s="151"/>
      <c r="I28" s="195"/>
      <c r="J28" s="195"/>
      <c r="K28" s="195"/>
      <c r="L28" s="195"/>
      <c r="M28" s="195"/>
      <c r="N28" s="195"/>
      <c r="O28" s="195"/>
      <c r="P28" s="195"/>
      <c r="Q28" s="195"/>
      <c r="R28" s="195"/>
    </row>
    <row r="29" spans="1:18" ht="14.5" hidden="1" customHeight="1">
      <c r="A29" s="814"/>
      <c r="B29" s="194"/>
      <c r="C29" s="187"/>
      <c r="D29" s="148"/>
      <c r="E29" s="187"/>
      <c r="I29" s="195"/>
      <c r="J29" s="195"/>
      <c r="K29" s="195"/>
      <c r="L29" s="195"/>
      <c r="M29" s="195"/>
      <c r="N29" s="195"/>
      <c r="O29" s="195"/>
      <c r="P29" s="195"/>
      <c r="Q29" s="195"/>
      <c r="R29" s="195"/>
    </row>
    <row r="30" spans="1:18">
      <c r="A30" s="815"/>
      <c r="B30" s="209" t="s">
        <v>201</v>
      </c>
      <c r="C30" s="213">
        <f t="shared" ref="C30" si="0">+C23+C28</f>
        <v>62748</v>
      </c>
      <c r="D30" s="155">
        <f t="shared" ref="D30:E30" si="1">+D23+D28</f>
        <v>31375</v>
      </c>
      <c r="E30" s="213">
        <f t="shared" si="1"/>
        <v>70066</v>
      </c>
      <c r="I30" s="195"/>
      <c r="J30" s="195"/>
      <c r="K30" s="195"/>
      <c r="L30" s="195"/>
      <c r="M30" s="195"/>
      <c r="N30" s="195"/>
      <c r="O30" s="195"/>
      <c r="P30" s="195"/>
      <c r="Q30" s="195"/>
      <c r="R30" s="195"/>
    </row>
    <row r="31" spans="1:18" ht="8.5" customHeight="1">
      <c r="B31" s="214"/>
      <c r="D31" s="214"/>
      <c r="E31" s="214"/>
      <c r="I31" s="195"/>
      <c r="J31" s="195"/>
      <c r="K31" s="195"/>
      <c r="L31" s="195"/>
      <c r="M31" s="195"/>
      <c r="N31" s="195"/>
      <c r="O31" s="195"/>
      <c r="P31" s="195"/>
      <c r="Q31" s="195"/>
      <c r="R31" s="195"/>
    </row>
    <row r="32" spans="1:18">
      <c r="A32" s="813" t="s">
        <v>205</v>
      </c>
      <c r="B32" s="177" t="s">
        <v>202</v>
      </c>
      <c r="C32" s="619">
        <f>ROUND(22025*C16,0)</f>
        <v>22025</v>
      </c>
      <c r="D32" s="620">
        <f>ROUND(C32*D$16,0)</f>
        <v>11013</v>
      </c>
      <c r="E32" s="621">
        <v>6000</v>
      </c>
      <c r="I32" s="239"/>
      <c r="J32" s="195"/>
      <c r="K32" s="195"/>
      <c r="L32" s="195"/>
      <c r="M32" s="195"/>
      <c r="N32" s="195"/>
      <c r="O32" s="195"/>
      <c r="P32" s="195"/>
      <c r="Q32" s="195"/>
      <c r="R32" s="195"/>
    </row>
    <row r="33" spans="1:18">
      <c r="A33" s="814"/>
      <c r="B33" s="194" t="s">
        <v>229</v>
      </c>
      <c r="C33" s="187"/>
      <c r="D33" s="139"/>
      <c r="E33" s="445">
        <v>0</v>
      </c>
      <c r="I33" s="239"/>
      <c r="J33" s="195"/>
      <c r="K33" s="195"/>
      <c r="L33" s="195"/>
      <c r="M33" s="195"/>
      <c r="N33" s="195"/>
      <c r="O33" s="195"/>
      <c r="P33" s="195"/>
      <c r="Q33" s="195"/>
      <c r="R33" s="195"/>
    </row>
    <row r="34" spans="1:18">
      <c r="A34" s="814"/>
      <c r="B34" s="202" t="s">
        <v>205</v>
      </c>
      <c r="C34" s="187"/>
      <c r="D34" s="140"/>
      <c r="E34" s="446">
        <f>+E32+E33</f>
        <v>6000</v>
      </c>
      <c r="I34" s="239"/>
      <c r="J34" s="195"/>
      <c r="K34" s="195"/>
      <c r="L34" s="195"/>
      <c r="M34" s="195"/>
      <c r="N34" s="195"/>
      <c r="O34" s="195"/>
      <c r="P34" s="195"/>
      <c r="Q34" s="195"/>
      <c r="R34" s="195"/>
    </row>
    <row r="35" spans="1:18" ht="6.5" customHeight="1">
      <c r="A35" s="814"/>
      <c r="B35" s="194"/>
      <c r="C35" s="187"/>
      <c r="D35" s="152"/>
      <c r="E35" s="187"/>
      <c r="I35" s="239"/>
      <c r="J35" s="195"/>
      <c r="K35" s="195"/>
      <c r="L35" s="195"/>
      <c r="M35" s="195"/>
      <c r="N35" s="195"/>
      <c r="O35" s="195"/>
      <c r="P35" s="195"/>
      <c r="Q35" s="195"/>
      <c r="R35" s="195"/>
    </row>
    <row r="36" spans="1:18">
      <c r="A36" s="814"/>
      <c r="B36" s="194" t="s">
        <v>388</v>
      </c>
      <c r="C36" s="187"/>
      <c r="D36" s="139"/>
      <c r="E36" s="445">
        <v>1800</v>
      </c>
      <c r="I36" s="239"/>
      <c r="J36" s="195"/>
      <c r="K36" s="195"/>
      <c r="L36" s="195"/>
      <c r="M36" s="195"/>
      <c r="N36" s="195"/>
      <c r="O36" s="195"/>
      <c r="P36" s="195"/>
      <c r="Q36" s="195"/>
      <c r="R36" s="195"/>
    </row>
    <row r="37" spans="1:18">
      <c r="A37" s="814"/>
      <c r="B37" s="194" t="s">
        <v>203</v>
      </c>
      <c r="C37" s="187"/>
      <c r="D37" s="486"/>
      <c r="E37" s="487">
        <v>0.25</v>
      </c>
      <c r="F37" s="151"/>
      <c r="I37" s="239"/>
      <c r="J37" s="195"/>
      <c r="K37" s="195"/>
      <c r="L37" s="195"/>
      <c r="M37" s="195"/>
      <c r="N37" s="195"/>
      <c r="O37" s="195"/>
      <c r="P37" s="195"/>
      <c r="Q37" s="195"/>
      <c r="R37" s="195"/>
    </row>
    <row r="38" spans="1:18">
      <c r="A38" s="814"/>
      <c r="B38" s="202" t="s">
        <v>444</v>
      </c>
      <c r="C38" s="491">
        <v>0</v>
      </c>
      <c r="D38" s="612">
        <v>0</v>
      </c>
      <c r="E38" s="446">
        <f>ROUND(+E36/(1-E37),0)</f>
        <v>2400</v>
      </c>
      <c r="F38" s="151"/>
      <c r="I38" s="239"/>
      <c r="J38" s="195"/>
      <c r="K38" s="195"/>
      <c r="L38" s="195"/>
      <c r="M38" s="195"/>
      <c r="N38" s="195"/>
      <c r="O38" s="195"/>
      <c r="P38" s="195"/>
      <c r="Q38" s="195"/>
      <c r="R38" s="195"/>
    </row>
    <row r="39" spans="1:18">
      <c r="A39" s="815"/>
      <c r="B39" s="209" t="s">
        <v>206</v>
      </c>
      <c r="C39" s="616">
        <v>0</v>
      </c>
      <c r="D39" s="615">
        <v>0</v>
      </c>
      <c r="E39" s="213">
        <f>+E34-E36</f>
        <v>4200</v>
      </c>
      <c r="I39" s="239"/>
      <c r="J39" s="195"/>
      <c r="K39" s="195"/>
      <c r="L39" s="195"/>
      <c r="M39" s="195"/>
      <c r="N39" s="195"/>
      <c r="O39" s="195"/>
      <c r="P39" s="195"/>
      <c r="Q39" s="195"/>
      <c r="R39" s="195"/>
    </row>
    <row r="40" spans="1:18" ht="7" customHeight="1">
      <c r="B40" s="214"/>
      <c r="D40" s="214"/>
      <c r="E40" s="214"/>
      <c r="I40" s="195"/>
      <c r="J40" s="195"/>
      <c r="K40" s="195"/>
      <c r="L40" s="195"/>
      <c r="M40" s="195"/>
      <c r="N40" s="195"/>
      <c r="O40" s="195"/>
      <c r="P40" s="195"/>
      <c r="Q40" s="195"/>
      <c r="R40" s="195"/>
    </row>
    <row r="41" spans="1:18">
      <c r="A41" s="813" t="s">
        <v>173</v>
      </c>
      <c r="B41" s="215" t="s">
        <v>381</v>
      </c>
      <c r="C41" s="472">
        <v>0.1</v>
      </c>
      <c r="D41" s="452">
        <v>0.1</v>
      </c>
      <c r="E41" s="447">
        <v>0.1</v>
      </c>
      <c r="I41" s="195"/>
      <c r="J41" s="195"/>
      <c r="K41" s="195"/>
      <c r="L41" s="195"/>
      <c r="M41" s="195"/>
      <c r="N41" s="195"/>
      <c r="O41" s="195"/>
      <c r="P41" s="195"/>
      <c r="Q41" s="195"/>
      <c r="R41" s="195"/>
    </row>
    <row r="42" spans="1:18">
      <c r="A42" s="814"/>
      <c r="B42" s="194" t="s">
        <v>211</v>
      </c>
      <c r="C42" s="184">
        <f>+C30</f>
        <v>62748</v>
      </c>
      <c r="D42" s="147">
        <f>+D30</f>
        <v>31375</v>
      </c>
      <c r="E42" s="473">
        <f>+E30</f>
        <v>70066</v>
      </c>
      <c r="I42" s="195"/>
      <c r="J42" s="195"/>
      <c r="K42" s="195"/>
      <c r="L42" s="195"/>
      <c r="M42" s="195"/>
      <c r="N42" s="195"/>
      <c r="O42" s="195"/>
      <c r="P42" s="195"/>
      <c r="Q42" s="195"/>
      <c r="R42" s="195"/>
    </row>
    <row r="43" spans="1:18">
      <c r="A43" s="814"/>
      <c r="B43" s="194" t="s">
        <v>173</v>
      </c>
      <c r="C43" s="184">
        <f>ROUND(+C42*C41,0)</f>
        <v>6275</v>
      </c>
      <c r="D43" s="147">
        <f>ROUND(+D42*D41,0)</f>
        <v>3138</v>
      </c>
      <c r="E43" s="473">
        <f>ROUND(+E42*E41,0)</f>
        <v>7007</v>
      </c>
    </row>
    <row r="44" spans="1:18">
      <c r="A44" s="814"/>
      <c r="B44" s="194" t="s">
        <v>208</v>
      </c>
      <c r="C44" s="184">
        <f>+C39</f>
        <v>0</v>
      </c>
      <c r="D44" s="147">
        <f>+D39</f>
        <v>0</v>
      </c>
      <c r="E44" s="473">
        <f>+E39</f>
        <v>4200</v>
      </c>
    </row>
    <row r="45" spans="1:18">
      <c r="A45" s="814"/>
      <c r="B45" s="194" t="s">
        <v>390</v>
      </c>
      <c r="C45" s="184"/>
      <c r="D45" s="147"/>
      <c r="E45" s="473">
        <f>+E44+E43</f>
        <v>11207</v>
      </c>
    </row>
    <row r="46" spans="1:18">
      <c r="A46" s="814"/>
      <c r="B46" s="194" t="s">
        <v>214</v>
      </c>
      <c r="C46" s="184"/>
      <c r="D46" s="147"/>
      <c r="E46" s="677">
        <f>+E45/E30</f>
        <v>0.15994919076299488</v>
      </c>
    </row>
    <row r="47" spans="1:18">
      <c r="A47" s="814"/>
      <c r="B47" s="194" t="s">
        <v>389</v>
      </c>
      <c r="C47" s="184"/>
      <c r="D47" s="147"/>
      <c r="E47" s="678">
        <v>0.16</v>
      </c>
    </row>
    <row r="48" spans="1:18">
      <c r="A48" s="815"/>
      <c r="B48" s="209" t="s">
        <v>209</v>
      </c>
      <c r="C48" s="213">
        <f t="shared" ref="C48" si="2">+C43+C44</f>
        <v>6275</v>
      </c>
      <c r="D48" s="155">
        <f t="shared" ref="D48" si="3">+D43+D44</f>
        <v>3138</v>
      </c>
      <c r="E48" s="442">
        <f>ROUND(+E47*E30,0)</f>
        <v>11211</v>
      </c>
    </row>
    <row r="49" spans="1:8" hidden="1">
      <c r="B49" s="210" t="s">
        <v>214</v>
      </c>
      <c r="C49" s="448">
        <f>+C48/C42</f>
        <v>0.10000318735258494</v>
      </c>
      <c r="D49" s="453">
        <f>+D48/D42</f>
        <v>0.10001593625498008</v>
      </c>
      <c r="E49" s="226"/>
    </row>
    <row r="50" spans="1:8" ht="7" customHeight="1">
      <c r="B50" s="214"/>
      <c r="D50" s="214"/>
      <c r="E50" s="214"/>
    </row>
    <row r="51" spans="1:8">
      <c r="A51" s="813" t="s">
        <v>174</v>
      </c>
      <c r="B51" s="177" t="s">
        <v>176</v>
      </c>
      <c r="C51" s="472">
        <v>1.4999999999999999E-2</v>
      </c>
      <c r="D51" s="452">
        <v>1.4999999999999999E-2</v>
      </c>
      <c r="E51" s="472">
        <v>1.4999999999999999E-2</v>
      </c>
    </row>
    <row r="52" spans="1:8">
      <c r="A52" s="814"/>
      <c r="B52" s="194" t="s">
        <v>177</v>
      </c>
      <c r="C52" s="449">
        <v>7.0000000000000001E-3</v>
      </c>
      <c r="D52" s="454">
        <v>7.0000000000000001E-3</v>
      </c>
      <c r="E52" s="449">
        <v>7.0000000000000001E-3</v>
      </c>
    </row>
    <row r="53" spans="1:8">
      <c r="A53" s="814"/>
      <c r="B53" s="194" t="s">
        <v>366</v>
      </c>
      <c r="C53" s="449">
        <v>7.0000000000000001E-3</v>
      </c>
      <c r="D53" s="454">
        <v>7.0000000000000001E-3</v>
      </c>
      <c r="E53" s="449">
        <v>0</v>
      </c>
      <c r="F53" s="144" t="s">
        <v>451</v>
      </c>
    </row>
    <row r="54" spans="1:8">
      <c r="A54" s="814"/>
      <c r="B54" s="194" t="s">
        <v>216</v>
      </c>
      <c r="C54" s="450">
        <f t="shared" ref="C54" si="4">+C51+C52+C53</f>
        <v>2.8999999999999998E-2</v>
      </c>
      <c r="D54" s="455">
        <f t="shared" ref="D54:E54" si="5">+D51+D52+D53</f>
        <v>2.8999999999999998E-2</v>
      </c>
      <c r="E54" s="450">
        <f t="shared" si="5"/>
        <v>2.1999999999999999E-2</v>
      </c>
    </row>
    <row r="55" spans="1:8">
      <c r="A55" s="814"/>
      <c r="B55" s="194" t="s">
        <v>211</v>
      </c>
      <c r="C55" s="184">
        <f>+C30</f>
        <v>62748</v>
      </c>
      <c r="D55" s="147">
        <f>+D30</f>
        <v>31375</v>
      </c>
      <c r="E55" s="184">
        <f>+E30</f>
        <v>70066</v>
      </c>
    </row>
    <row r="56" spans="1:8">
      <c r="A56" s="815"/>
      <c r="B56" s="165" t="s">
        <v>215</v>
      </c>
      <c r="C56" s="213">
        <f>ROUND(+C55*C54,0)</f>
        <v>1820</v>
      </c>
      <c r="D56" s="155">
        <f>ROUND(+D55*D54,0)</f>
        <v>910</v>
      </c>
      <c r="E56" s="617">
        <f>ROUND(+E55*E54,0)</f>
        <v>1541</v>
      </c>
    </row>
    <row r="57" spans="1:8" ht="7.5" customHeight="1"/>
    <row r="58" spans="1:8">
      <c r="A58" s="813" t="s">
        <v>107</v>
      </c>
      <c r="B58" s="157" t="s">
        <v>222</v>
      </c>
      <c r="C58" s="622">
        <v>1200</v>
      </c>
      <c r="D58" s="623">
        <f>ROUND(C58*D$16,0)</f>
        <v>600</v>
      </c>
      <c r="E58" s="622">
        <v>1200</v>
      </c>
    </row>
    <row r="59" spans="1:8">
      <c r="A59" s="814"/>
      <c r="B59" s="159" t="s">
        <v>447</v>
      </c>
      <c r="C59" s="441">
        <v>750</v>
      </c>
      <c r="D59" s="457">
        <f>ROUND(C59*D$16,0)</f>
        <v>375</v>
      </c>
      <c r="E59" s="441">
        <v>1300</v>
      </c>
    </row>
    <row r="60" spans="1:8">
      <c r="A60" s="814"/>
      <c r="B60" s="159" t="s">
        <v>107</v>
      </c>
      <c r="C60" s="441">
        <v>600</v>
      </c>
      <c r="D60" s="457">
        <f>ROUND(C60*D$16,0)</f>
        <v>300</v>
      </c>
      <c r="E60" s="441">
        <v>600</v>
      </c>
    </row>
    <row r="61" spans="1:8">
      <c r="A61" s="814"/>
      <c r="B61" s="194" t="s">
        <v>238</v>
      </c>
      <c r="C61" s="441">
        <v>480</v>
      </c>
      <c r="D61" s="457">
        <f>ROUND(C61*D$16,0)</f>
        <v>240</v>
      </c>
      <c r="E61" s="441">
        <v>480</v>
      </c>
    </row>
    <row r="62" spans="1:8">
      <c r="A62" s="814"/>
      <c r="B62" s="210" t="s">
        <v>355</v>
      </c>
      <c r="C62" s="471">
        <v>300</v>
      </c>
      <c r="D62" s="451">
        <v>300</v>
      </c>
      <c r="E62" s="471"/>
    </row>
    <row r="63" spans="1:8">
      <c r="A63" s="815"/>
      <c r="B63" s="170" t="s">
        <v>225</v>
      </c>
      <c r="C63" s="442">
        <f>+SUM(C58:C62)</f>
        <v>3330</v>
      </c>
      <c r="D63" s="236">
        <f>+SUM(D58:D62)</f>
        <v>1815</v>
      </c>
      <c r="E63" s="618">
        <f>+SUM(E58:E61)</f>
        <v>3580</v>
      </c>
      <c r="H63" s="151"/>
    </row>
    <row r="64" spans="1:8" ht="8" customHeight="1"/>
    <row r="65" spans="2:8">
      <c r="B65" s="173" t="s">
        <v>379</v>
      </c>
      <c r="C65" s="443">
        <f>+C30+C32+C48+C56+C63</f>
        <v>96198</v>
      </c>
      <c r="D65" s="176">
        <f>+D30+D32+D48+D56+D63</f>
        <v>48251</v>
      </c>
      <c r="E65" s="176">
        <f>+E30+E48+E56+E63</f>
        <v>86398</v>
      </c>
      <c r="F65" s="151"/>
      <c r="G65" s="694"/>
      <c r="H65" s="481"/>
    </row>
    <row r="66" spans="2:8" ht="7.5" customHeight="1">
      <c r="B66" s="239"/>
      <c r="C66" s="225"/>
      <c r="D66" s="225"/>
      <c r="E66" s="225"/>
    </row>
    <row r="67" spans="2:8" hidden="1">
      <c r="B67" s="477" t="s">
        <v>380</v>
      </c>
      <c r="C67" s="478">
        <f>+C9-C65</f>
        <v>-24197.264880000002</v>
      </c>
      <c r="D67" s="328"/>
      <c r="E67" s="328"/>
    </row>
    <row r="68" spans="2:8" hidden="1">
      <c r="C68" s="474"/>
      <c r="D68" s="46">
        <v>48249.5</v>
      </c>
    </row>
  </sheetData>
  <mergeCells count="9">
    <mergeCell ref="A58:A63"/>
    <mergeCell ref="A1:H1"/>
    <mergeCell ref="F11:H14"/>
    <mergeCell ref="A12:A30"/>
    <mergeCell ref="A32:A39"/>
    <mergeCell ref="A41:A48"/>
    <mergeCell ref="A51:A56"/>
    <mergeCell ref="B20:B22"/>
    <mergeCell ref="B2:D2"/>
  </mergeCells>
  <pageMargins left="0.7" right="0.7" top="0.75" bottom="0.75" header="0.3" footer="0.3"/>
  <pageSetup orientation="portrait" horizontalDpi="0" verticalDpi="0" r:id="rId1"/>
  <headerFooter>
    <oddFooter>&amp;R&amp;D</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P80"/>
  <sheetViews>
    <sheetView showGridLines="0" workbookViewId="0">
      <selection activeCell="E30" sqref="E30"/>
    </sheetView>
  </sheetViews>
  <sheetFormatPr defaultRowHeight="14.5"/>
  <cols>
    <col min="1" max="1" width="7.453125" style="144" customWidth="1"/>
    <col min="2" max="2" width="39.26953125" style="144" customWidth="1"/>
    <col min="3" max="4" width="9.54296875" style="144" customWidth="1"/>
    <col min="5" max="5" width="9.36328125" style="144" customWidth="1"/>
    <col min="6" max="6" width="1.7265625" style="144" customWidth="1"/>
    <col min="7" max="7" width="4" style="144" customWidth="1"/>
    <col min="8" max="8" width="4.54296875" style="144" customWidth="1"/>
    <col min="9" max="9" width="4" style="144" customWidth="1"/>
    <col min="10" max="10" width="4.54296875" style="144" customWidth="1"/>
    <col min="11" max="11" width="4" style="144" customWidth="1"/>
    <col min="12" max="12" width="4.54296875" style="144" customWidth="1"/>
    <col min="13" max="13" width="4" style="144" customWidth="1"/>
    <col min="14" max="14" width="4.54296875" style="144" customWidth="1"/>
    <col min="15" max="15" width="4.26953125" style="144" customWidth="1"/>
    <col min="16" max="16384" width="8.7265625" style="144"/>
  </cols>
  <sheetData>
    <row r="1" spans="1:15" ht="21">
      <c r="A1" s="816" t="s">
        <v>393</v>
      </c>
      <c r="B1" s="816"/>
      <c r="C1" s="816"/>
      <c r="D1" s="816"/>
      <c r="E1" s="816"/>
      <c r="F1" s="816"/>
      <c r="G1" s="816"/>
      <c r="H1" s="816"/>
      <c r="I1" s="816"/>
      <c r="J1" s="816"/>
      <c r="K1" s="816"/>
      <c r="L1" s="816"/>
      <c r="M1" s="816"/>
      <c r="N1" s="816"/>
      <c r="O1" s="816"/>
    </row>
    <row r="2" spans="1:15" ht="21">
      <c r="A2" s="816" t="s">
        <v>331</v>
      </c>
      <c r="B2" s="816"/>
      <c r="C2" s="816"/>
      <c r="D2" s="816"/>
      <c r="E2" s="816"/>
      <c r="F2" s="816"/>
      <c r="G2" s="816"/>
      <c r="H2" s="816"/>
      <c r="I2" s="816"/>
      <c r="J2" s="816"/>
      <c r="K2" s="816"/>
      <c r="L2" s="816"/>
      <c r="M2" s="816"/>
      <c r="N2" s="816"/>
      <c r="O2" s="816"/>
    </row>
    <row r="3" spans="1:15" ht="15" thickBot="1"/>
    <row r="4" spans="1:15" ht="32.5" customHeight="1" thickTop="1" thickBot="1">
      <c r="C4" s="539" t="s">
        <v>199</v>
      </c>
      <c r="D4" s="539" t="s">
        <v>331</v>
      </c>
      <c r="E4" s="540" t="s">
        <v>475</v>
      </c>
      <c r="F4" s="829" t="s">
        <v>392</v>
      </c>
      <c r="G4" s="829"/>
      <c r="H4" s="829"/>
      <c r="I4" s="829"/>
      <c r="J4" s="829"/>
      <c r="K4" s="829"/>
      <c r="L4" s="829"/>
      <c r="M4" s="829"/>
      <c r="N4" s="829"/>
      <c r="O4" s="830"/>
    </row>
    <row r="5" spans="1:15" ht="15" thickTop="1">
      <c r="A5" s="480"/>
      <c r="B5" s="342"/>
      <c r="C5" s="545"/>
      <c r="D5" s="546"/>
      <c r="E5" s="541"/>
      <c r="F5" s="337"/>
      <c r="G5" s="350">
        <v>4</v>
      </c>
      <c r="H5" s="328" t="s">
        <v>253</v>
      </c>
      <c r="I5" s="350">
        <v>4</v>
      </c>
      <c r="J5" s="328" t="s">
        <v>256</v>
      </c>
      <c r="K5" s="350">
        <v>4</v>
      </c>
      <c r="L5" s="328" t="s">
        <v>251</v>
      </c>
      <c r="M5" s="350">
        <v>4</v>
      </c>
      <c r="N5" s="328" t="s">
        <v>258</v>
      </c>
      <c r="O5" s="332"/>
    </row>
    <row r="6" spans="1:15">
      <c r="A6" s="349"/>
      <c r="B6" s="328"/>
      <c r="C6" s="546"/>
      <c r="D6" s="546"/>
      <c r="E6" s="541"/>
      <c r="F6" s="337"/>
      <c r="G6" s="350">
        <v>4</v>
      </c>
      <c r="H6" s="328" t="s">
        <v>254</v>
      </c>
      <c r="I6" s="350">
        <v>5</v>
      </c>
      <c r="J6" s="328" t="s">
        <v>249</v>
      </c>
      <c r="K6" s="350">
        <v>5</v>
      </c>
      <c r="L6" s="328" t="s">
        <v>257</v>
      </c>
      <c r="M6" s="350">
        <v>5</v>
      </c>
      <c r="N6" s="328" t="s">
        <v>259</v>
      </c>
      <c r="O6" s="332"/>
    </row>
    <row r="7" spans="1:15">
      <c r="A7" s="352" t="s">
        <v>247</v>
      </c>
      <c r="B7" s="353" t="s">
        <v>248</v>
      </c>
      <c r="C7" s="547">
        <v>52</v>
      </c>
      <c r="D7" s="547">
        <v>52</v>
      </c>
      <c r="E7" s="542">
        <f>+SUM(G5:G7)+SUM(I5:I7)+SUM(K5:K7)+SUM(M5:M7)</f>
        <v>52</v>
      </c>
      <c r="F7" s="500"/>
      <c r="G7" s="354">
        <v>5</v>
      </c>
      <c r="H7" s="353" t="s">
        <v>255</v>
      </c>
      <c r="I7" s="354">
        <v>4</v>
      </c>
      <c r="J7" s="353" t="s">
        <v>250</v>
      </c>
      <c r="K7" s="354">
        <v>4</v>
      </c>
      <c r="L7" s="353" t="s">
        <v>252</v>
      </c>
      <c r="M7" s="354">
        <v>4</v>
      </c>
      <c r="N7" s="353" t="s">
        <v>260</v>
      </c>
      <c r="O7" s="355"/>
    </row>
    <row r="8" spans="1:15">
      <c r="A8" s="356"/>
      <c r="B8" s="357" t="s">
        <v>261</v>
      </c>
      <c r="C8" s="543">
        <v>4</v>
      </c>
      <c r="D8" s="543">
        <v>4</v>
      </c>
      <c r="E8" s="543">
        <v>4</v>
      </c>
      <c r="F8" s="501"/>
      <c r="G8" s="357" t="s">
        <v>333</v>
      </c>
      <c r="H8" s="357"/>
      <c r="I8" s="357"/>
      <c r="J8" s="357"/>
      <c r="K8" s="357"/>
      <c r="L8" s="357"/>
      <c r="M8" s="357"/>
      <c r="N8" s="357"/>
      <c r="O8" s="358"/>
    </row>
    <row r="9" spans="1:15">
      <c r="A9" s="356"/>
      <c r="B9" s="357" t="s">
        <v>262</v>
      </c>
      <c r="C9" s="543">
        <v>6</v>
      </c>
      <c r="D9" s="543">
        <v>7</v>
      </c>
      <c r="E9" s="543">
        <v>7</v>
      </c>
      <c r="F9" s="501"/>
      <c r="G9" s="357" t="s">
        <v>334</v>
      </c>
      <c r="H9" s="357"/>
      <c r="I9" s="357"/>
      <c r="J9" s="357"/>
      <c r="K9" s="357"/>
      <c r="L9" s="357"/>
      <c r="M9" s="357"/>
      <c r="N9" s="357"/>
      <c r="O9" s="358"/>
    </row>
    <row r="10" spans="1:15">
      <c r="A10" s="356"/>
      <c r="B10" s="357" t="s">
        <v>337</v>
      </c>
      <c r="C10" s="543">
        <v>1</v>
      </c>
      <c r="D10" s="543">
        <v>1</v>
      </c>
      <c r="E10" s="543">
        <v>1</v>
      </c>
      <c r="F10" s="501"/>
      <c r="G10" s="357" t="s">
        <v>336</v>
      </c>
      <c r="H10" s="357"/>
      <c r="I10" s="357"/>
      <c r="J10" s="357"/>
      <c r="K10" s="357"/>
      <c r="L10" s="357"/>
      <c r="M10" s="357"/>
      <c r="N10" s="357"/>
      <c r="O10" s="358"/>
    </row>
    <row r="11" spans="1:15" ht="15" thickBot="1">
      <c r="A11" s="351"/>
      <c r="B11" s="338" t="s">
        <v>263</v>
      </c>
      <c r="C11" s="544">
        <v>15</v>
      </c>
      <c r="D11" s="544">
        <v>15</v>
      </c>
      <c r="E11" s="544">
        <v>15</v>
      </c>
      <c r="F11" s="502"/>
      <c r="G11" s="338" t="s">
        <v>335</v>
      </c>
      <c r="H11" s="338"/>
      <c r="I11" s="338"/>
      <c r="J11" s="338"/>
      <c r="K11" s="338"/>
      <c r="L11" s="338"/>
      <c r="M11" s="338"/>
      <c r="N11" s="338"/>
      <c r="O11" s="339"/>
    </row>
    <row r="12" spans="1:15" ht="16.5" customHeight="1" thickTop="1" thickBot="1">
      <c r="A12" s="359"/>
    </row>
    <row r="13" spans="1:15" ht="49" customHeight="1" thickTop="1" thickBot="1">
      <c r="A13" s="536" t="s">
        <v>240</v>
      </c>
      <c r="B13" s="532"/>
      <c r="C13" s="548">
        <v>3000</v>
      </c>
      <c r="D13" s="548">
        <v>3060</v>
      </c>
      <c r="E13" s="549">
        <f>ROUND(+D13*(1+'New Year-Full Year'!F106),0)</f>
        <v>3091</v>
      </c>
      <c r="F13" s="524"/>
      <c r="G13" s="831" t="s">
        <v>426</v>
      </c>
      <c r="H13" s="831"/>
      <c r="I13" s="831"/>
      <c r="J13" s="831"/>
      <c r="K13" s="831"/>
      <c r="L13" s="831"/>
      <c r="M13" s="831"/>
      <c r="N13" s="831"/>
      <c r="O13" s="832"/>
    </row>
    <row r="14" spans="1:15" ht="15.5" thickTop="1" thickBot="1">
      <c r="A14" s="826" t="s">
        <v>271</v>
      </c>
      <c r="B14" s="827"/>
      <c r="C14" s="827"/>
      <c r="D14" s="827"/>
      <c r="E14" s="827"/>
      <c r="F14" s="827"/>
      <c r="G14" s="827"/>
      <c r="H14" s="827"/>
      <c r="I14" s="827"/>
      <c r="J14" s="827"/>
      <c r="K14" s="827"/>
      <c r="L14" s="827"/>
      <c r="M14" s="827"/>
      <c r="N14" s="827"/>
      <c r="O14" s="828"/>
    </row>
    <row r="15" spans="1:15" ht="15" customHeight="1" thickTop="1">
      <c r="A15" s="841" t="s">
        <v>273</v>
      </c>
      <c r="B15" s="341" t="s">
        <v>278</v>
      </c>
      <c r="C15" s="550">
        <v>37</v>
      </c>
      <c r="D15" s="550">
        <v>37</v>
      </c>
      <c r="E15" s="551">
        <f>+E7-E11</f>
        <v>37</v>
      </c>
      <c r="F15" s="503"/>
      <c r="G15" s="833" t="s">
        <v>300</v>
      </c>
      <c r="H15" s="833"/>
      <c r="I15" s="833"/>
      <c r="J15" s="833"/>
      <c r="K15" s="833"/>
      <c r="L15" s="833"/>
      <c r="M15" s="833"/>
      <c r="N15" s="833"/>
      <c r="O15" s="834"/>
    </row>
    <row r="16" spans="1:15">
      <c r="A16" s="842"/>
      <c r="B16" s="327" t="s">
        <v>277</v>
      </c>
      <c r="C16" s="552">
        <v>1</v>
      </c>
      <c r="D16" s="552">
        <v>1</v>
      </c>
      <c r="E16" s="552">
        <v>1</v>
      </c>
      <c r="F16" s="504"/>
      <c r="G16" s="835"/>
      <c r="H16" s="835"/>
      <c r="I16" s="835"/>
      <c r="J16" s="835"/>
      <c r="K16" s="835"/>
      <c r="L16" s="835"/>
      <c r="M16" s="835"/>
      <c r="N16" s="835"/>
      <c r="O16" s="836"/>
    </row>
    <row r="17" spans="1:16">
      <c r="A17" s="842"/>
      <c r="B17" s="333" t="s">
        <v>275</v>
      </c>
      <c r="C17" s="553">
        <f>+C15*C16</f>
        <v>37</v>
      </c>
      <c r="D17" s="553">
        <f>+D15*D16</f>
        <v>37</v>
      </c>
      <c r="E17" s="553">
        <f>+E15*E16</f>
        <v>37</v>
      </c>
      <c r="F17" s="505"/>
      <c r="G17" s="334"/>
      <c r="H17" s="334"/>
      <c r="I17" s="345"/>
      <c r="J17" s="334"/>
      <c r="K17" s="345"/>
      <c r="L17" s="334"/>
      <c r="M17" s="345"/>
      <c r="N17" s="334"/>
      <c r="O17" s="336"/>
    </row>
    <row r="18" spans="1:16">
      <c r="A18" s="843"/>
      <c r="B18" s="330" t="s">
        <v>246</v>
      </c>
      <c r="C18" s="554"/>
      <c r="D18" s="554"/>
      <c r="E18" s="554"/>
      <c r="F18" s="506"/>
      <c r="G18" s="158"/>
      <c r="H18" s="158"/>
      <c r="I18" s="216"/>
      <c r="J18" s="158"/>
      <c r="K18" s="216"/>
      <c r="L18" s="158"/>
      <c r="M18" s="216"/>
      <c r="N18" s="158"/>
      <c r="O18" s="331"/>
    </row>
    <row r="19" spans="1:16">
      <c r="A19" s="843"/>
      <c r="B19" s="327" t="s">
        <v>244</v>
      </c>
      <c r="C19" s="552">
        <v>0</v>
      </c>
      <c r="D19" s="552">
        <v>0</v>
      </c>
      <c r="E19" s="552">
        <v>0</v>
      </c>
      <c r="F19" s="504"/>
      <c r="G19" s="328" t="s">
        <v>264</v>
      </c>
      <c r="H19" s="195"/>
      <c r="J19" s="328"/>
      <c r="K19" s="195"/>
      <c r="L19" s="328"/>
      <c r="M19" s="195"/>
      <c r="N19" s="328"/>
      <c r="O19" s="332"/>
    </row>
    <row r="20" spans="1:16">
      <c r="A20" s="843"/>
      <c r="B20" s="333" t="s">
        <v>245</v>
      </c>
      <c r="C20" s="553">
        <f>+C9</f>
        <v>6</v>
      </c>
      <c r="D20" s="553">
        <f>+D9</f>
        <v>7</v>
      </c>
      <c r="E20" s="553">
        <f>+E9</f>
        <v>7</v>
      </c>
      <c r="F20" s="505"/>
      <c r="G20" s="334" t="s">
        <v>265</v>
      </c>
      <c r="I20" s="335"/>
      <c r="J20" s="334"/>
      <c r="K20" s="335"/>
      <c r="L20" s="334"/>
      <c r="M20" s="335"/>
      <c r="N20" s="334"/>
      <c r="O20" s="336"/>
    </row>
    <row r="21" spans="1:16">
      <c r="A21" s="843"/>
      <c r="B21" s="330" t="s">
        <v>243</v>
      </c>
      <c r="C21" s="555">
        <f>SUM(C17:C20)</f>
        <v>43</v>
      </c>
      <c r="D21" s="555">
        <f>SUM(D17:D20)</f>
        <v>44</v>
      </c>
      <c r="E21" s="555">
        <f>SUM(E17:E20)</f>
        <v>44</v>
      </c>
      <c r="F21" s="507"/>
      <c r="G21" s="158"/>
      <c r="H21" s="158"/>
      <c r="I21" s="216"/>
      <c r="J21" s="158"/>
      <c r="K21" s="216"/>
      <c r="L21" s="158"/>
      <c r="M21" s="216"/>
      <c r="N21" s="158"/>
      <c r="O21" s="331"/>
    </row>
    <row r="22" spans="1:16">
      <c r="A22" s="843"/>
      <c r="B22" s="327" t="s">
        <v>279</v>
      </c>
      <c r="C22" s="556">
        <f>C15</f>
        <v>37</v>
      </c>
      <c r="D22" s="556">
        <f>D15</f>
        <v>37</v>
      </c>
      <c r="E22" s="556">
        <f>E15</f>
        <v>37</v>
      </c>
      <c r="F22" s="508"/>
      <c r="G22" s="328" t="s">
        <v>276</v>
      </c>
      <c r="I22" s="195"/>
      <c r="J22" s="328"/>
      <c r="K22" s="195"/>
      <c r="L22" s="328"/>
      <c r="M22" s="195"/>
      <c r="N22" s="328"/>
      <c r="O22" s="332"/>
    </row>
    <row r="23" spans="1:16">
      <c r="A23" s="843"/>
      <c r="B23" s="333" t="s">
        <v>274</v>
      </c>
      <c r="C23" s="557">
        <f>+C21+C22</f>
        <v>80</v>
      </c>
      <c r="D23" s="557">
        <f>+D21+D22</f>
        <v>81</v>
      </c>
      <c r="E23" s="557">
        <f>+E21+E22</f>
        <v>81</v>
      </c>
      <c r="F23" s="509"/>
      <c r="G23" s="334"/>
      <c r="H23" s="334"/>
      <c r="I23" s="335"/>
      <c r="J23" s="334"/>
      <c r="K23" s="335"/>
      <c r="L23" s="334"/>
      <c r="M23" s="335"/>
      <c r="N23" s="334"/>
      <c r="O23" s="336"/>
    </row>
    <row r="24" spans="1:16">
      <c r="A24" s="844" t="s">
        <v>268</v>
      </c>
      <c r="B24" s="158" t="s">
        <v>285</v>
      </c>
      <c r="C24" s="554">
        <v>6</v>
      </c>
      <c r="D24" s="554">
        <v>6</v>
      </c>
      <c r="E24" s="554">
        <v>6</v>
      </c>
      <c r="F24" s="506"/>
      <c r="G24" s="158"/>
      <c r="H24" s="158"/>
      <c r="I24" s="216"/>
      <c r="J24" s="158"/>
      <c r="K24" s="216"/>
      <c r="L24" s="158"/>
      <c r="M24" s="216"/>
      <c r="N24" s="158"/>
      <c r="O24" s="331"/>
    </row>
    <row r="25" spans="1:16">
      <c r="A25" s="845"/>
      <c r="B25" s="328" t="s">
        <v>338</v>
      </c>
      <c r="C25" s="552">
        <v>0</v>
      </c>
      <c r="D25" s="552">
        <v>3</v>
      </c>
      <c r="E25" s="552">
        <v>3</v>
      </c>
      <c r="F25" s="504"/>
      <c r="G25" s="328" t="s">
        <v>339</v>
      </c>
      <c r="I25" s="195"/>
      <c r="J25" s="328"/>
      <c r="K25" s="195"/>
      <c r="L25" s="328"/>
      <c r="M25" s="195"/>
      <c r="N25" s="328"/>
      <c r="O25" s="332"/>
    </row>
    <row r="26" spans="1:16">
      <c r="A26" s="845"/>
      <c r="B26" s="328" t="s">
        <v>267</v>
      </c>
      <c r="C26" s="558">
        <v>25</v>
      </c>
      <c r="D26" s="558">
        <v>25</v>
      </c>
      <c r="E26" s="558">
        <v>25</v>
      </c>
      <c r="F26" s="510"/>
      <c r="G26" s="328"/>
      <c r="H26" s="328"/>
      <c r="I26" s="195"/>
      <c r="J26" s="328"/>
      <c r="K26" s="195"/>
      <c r="L26" s="328"/>
      <c r="M26" s="195"/>
      <c r="N26" s="328"/>
      <c r="O26" s="332"/>
      <c r="P26" s="151"/>
    </row>
    <row r="27" spans="1:16">
      <c r="A27" s="846"/>
      <c r="B27" s="334" t="s">
        <v>371</v>
      </c>
      <c r="C27" s="559">
        <v>30</v>
      </c>
      <c r="D27" s="559">
        <v>30</v>
      </c>
      <c r="E27" s="559">
        <v>30</v>
      </c>
      <c r="F27" s="511"/>
      <c r="G27" s="334"/>
      <c r="H27" s="334"/>
      <c r="I27" s="335"/>
      <c r="J27" s="334"/>
      <c r="K27" s="335"/>
      <c r="L27" s="334"/>
      <c r="M27" s="335"/>
      <c r="N27" s="334"/>
      <c r="O27" s="336"/>
    </row>
    <row r="28" spans="1:16">
      <c r="A28" s="844" t="s">
        <v>270</v>
      </c>
      <c r="B28" s="158" t="s">
        <v>266</v>
      </c>
      <c r="C28" s="560">
        <f>+C22*C24*C26</f>
        <v>5550</v>
      </c>
      <c r="D28" s="560">
        <f>(+D22*D24*D26)+(D25*2*D26)</f>
        <v>5700</v>
      </c>
      <c r="E28" s="560">
        <f>(+E22*E24*E26)+(E25*2*E26)</f>
        <v>5700</v>
      </c>
      <c r="F28" s="512"/>
      <c r="G28" s="158"/>
      <c r="H28" s="158"/>
      <c r="I28" s="216"/>
      <c r="J28" s="158"/>
      <c r="K28" s="216"/>
      <c r="L28" s="158"/>
      <c r="M28" s="216"/>
      <c r="N28" s="158"/>
      <c r="O28" s="331"/>
    </row>
    <row r="29" spans="1:16">
      <c r="A29" s="845"/>
      <c r="B29" s="328" t="s">
        <v>269</v>
      </c>
      <c r="C29" s="561">
        <f>+C21*C24*C27</f>
        <v>7740</v>
      </c>
      <c r="D29" s="561">
        <f>(+D21*D24*D27)+(D25*2*D27)</f>
        <v>8100</v>
      </c>
      <c r="E29" s="561">
        <f>(+E21*E24*E27)+(E25*2*E27)</f>
        <v>8100</v>
      </c>
      <c r="F29" s="513"/>
      <c r="G29" s="328"/>
      <c r="H29" s="328"/>
      <c r="I29" s="195"/>
      <c r="J29" s="337"/>
      <c r="K29" s="195"/>
      <c r="L29" s="328"/>
      <c r="M29" s="195"/>
      <c r="N29" s="328"/>
      <c r="O29" s="332"/>
    </row>
    <row r="30" spans="1:16" ht="15" thickBot="1">
      <c r="A30" s="847"/>
      <c r="B30" s="537" t="s">
        <v>280</v>
      </c>
      <c r="C30" s="562">
        <f>+C28+C29</f>
        <v>13290</v>
      </c>
      <c r="D30" s="562">
        <f>+D28+D29</f>
        <v>13800</v>
      </c>
      <c r="E30" s="563">
        <f>+E28+E29</f>
        <v>13800</v>
      </c>
      <c r="F30" s="525"/>
      <c r="G30" s="484"/>
      <c r="H30" s="484"/>
      <c r="I30" s="484"/>
      <c r="J30" s="484"/>
      <c r="K30" s="484"/>
      <c r="L30" s="484"/>
      <c r="M30" s="484"/>
      <c r="N30" s="484"/>
      <c r="O30" s="526"/>
    </row>
    <row r="31" spans="1:16" ht="15.5" thickTop="1" thickBot="1">
      <c r="A31" s="826" t="s">
        <v>272</v>
      </c>
      <c r="B31" s="827"/>
      <c r="C31" s="827"/>
      <c r="D31" s="827"/>
      <c r="E31" s="827"/>
      <c r="F31" s="827"/>
      <c r="G31" s="827"/>
      <c r="H31" s="827"/>
      <c r="I31" s="827"/>
      <c r="J31" s="827"/>
      <c r="K31" s="827"/>
      <c r="L31" s="827"/>
      <c r="M31" s="827"/>
      <c r="N31" s="827"/>
      <c r="O31" s="828"/>
    </row>
    <row r="32" spans="1:16" ht="15" customHeight="1" thickTop="1">
      <c r="A32" s="848" t="s">
        <v>273</v>
      </c>
      <c r="B32" s="342" t="s">
        <v>278</v>
      </c>
      <c r="C32" s="564">
        <v>52</v>
      </c>
      <c r="D32" s="564">
        <v>52</v>
      </c>
      <c r="E32" s="564">
        <f>+E7</f>
        <v>52</v>
      </c>
      <c r="F32" s="514"/>
      <c r="G32" s="342"/>
      <c r="H32" s="342"/>
      <c r="I32" s="343"/>
      <c r="J32" s="342"/>
      <c r="K32" s="343"/>
      <c r="L32" s="342"/>
      <c r="M32" s="343"/>
      <c r="N32" s="342"/>
      <c r="O32" s="344"/>
    </row>
    <row r="33" spans="1:15">
      <c r="A33" s="849"/>
      <c r="B33" s="328" t="s">
        <v>277</v>
      </c>
      <c r="C33" s="565">
        <v>2</v>
      </c>
      <c r="D33" s="565">
        <v>2</v>
      </c>
      <c r="E33" s="565">
        <v>2</v>
      </c>
      <c r="F33" s="515"/>
      <c r="G33" s="328"/>
      <c r="H33" s="328"/>
      <c r="I33" s="195"/>
      <c r="J33" s="328"/>
      <c r="K33" s="195"/>
      <c r="L33" s="328"/>
      <c r="M33" s="195"/>
      <c r="N33" s="328"/>
      <c r="O33" s="332"/>
    </row>
    <row r="34" spans="1:15">
      <c r="A34" s="849"/>
      <c r="B34" s="334" t="s">
        <v>275</v>
      </c>
      <c r="C34" s="566">
        <f>+C32*C33</f>
        <v>104</v>
      </c>
      <c r="D34" s="566">
        <f>+D32*D33</f>
        <v>104</v>
      </c>
      <c r="E34" s="566">
        <f>+E32*E33</f>
        <v>104</v>
      </c>
      <c r="F34" s="516"/>
      <c r="G34" s="334"/>
      <c r="H34" s="334"/>
      <c r="I34" s="335"/>
      <c r="J34" s="334"/>
      <c r="K34" s="335"/>
      <c r="L34" s="334"/>
      <c r="M34" s="335"/>
      <c r="N34" s="334"/>
      <c r="O34" s="336"/>
    </row>
    <row r="35" spans="1:15">
      <c r="A35" s="849"/>
      <c r="B35" s="158" t="s">
        <v>246</v>
      </c>
      <c r="C35" s="567"/>
      <c r="D35" s="567"/>
      <c r="E35" s="567"/>
      <c r="F35" s="517"/>
      <c r="G35" s="158"/>
      <c r="H35" s="158"/>
      <c r="I35" s="216"/>
      <c r="J35" s="158"/>
      <c r="K35" s="216"/>
      <c r="L35" s="158"/>
      <c r="M35" s="216"/>
      <c r="N35" s="158"/>
      <c r="O35" s="331"/>
    </row>
    <row r="36" spans="1:15">
      <c r="A36" s="849"/>
      <c r="B36" s="328" t="s">
        <v>281</v>
      </c>
      <c r="C36" s="568">
        <f t="shared" ref="C36:E37" si="0">+C8</f>
        <v>4</v>
      </c>
      <c r="D36" s="568">
        <f t="shared" si="0"/>
        <v>4</v>
      </c>
      <c r="E36" s="568">
        <f t="shared" si="0"/>
        <v>4</v>
      </c>
      <c r="F36" s="518"/>
      <c r="G36" s="328"/>
      <c r="H36" s="328"/>
      <c r="I36" s="195"/>
      <c r="J36" s="328"/>
      <c r="K36" s="195"/>
      <c r="L36" s="328"/>
      <c r="M36" s="195"/>
      <c r="N36" s="328"/>
      <c r="O36" s="332"/>
    </row>
    <row r="37" spans="1:15">
      <c r="A37" s="849"/>
      <c r="B37" s="328" t="s">
        <v>282</v>
      </c>
      <c r="C37" s="568">
        <f t="shared" si="0"/>
        <v>6</v>
      </c>
      <c r="D37" s="568">
        <f t="shared" si="0"/>
        <v>7</v>
      </c>
      <c r="E37" s="568">
        <f t="shared" si="0"/>
        <v>7</v>
      </c>
      <c r="F37" s="518"/>
      <c r="G37" s="328"/>
      <c r="H37" s="328"/>
      <c r="I37" s="195"/>
      <c r="J37" s="328"/>
      <c r="K37" s="195"/>
      <c r="L37" s="328"/>
      <c r="M37" s="195"/>
      <c r="N37" s="328"/>
      <c r="O37" s="332"/>
    </row>
    <row r="38" spans="1:15">
      <c r="A38" s="849"/>
      <c r="B38" s="195" t="s">
        <v>283</v>
      </c>
      <c r="C38" s="569">
        <v>20</v>
      </c>
      <c r="D38" s="569">
        <v>20</v>
      </c>
      <c r="E38" s="569">
        <v>20</v>
      </c>
      <c r="F38" s="519"/>
      <c r="G38" s="195" t="s">
        <v>301</v>
      </c>
      <c r="I38" s="195"/>
      <c r="J38" s="195"/>
      <c r="K38" s="195"/>
      <c r="L38" s="195"/>
      <c r="M38" s="195"/>
      <c r="N38" s="195"/>
      <c r="O38" s="347"/>
    </row>
    <row r="39" spans="1:15">
      <c r="A39" s="850"/>
      <c r="B39" s="335" t="s">
        <v>284</v>
      </c>
      <c r="C39" s="570">
        <f>SUM(C34:C38)</f>
        <v>134</v>
      </c>
      <c r="D39" s="570">
        <f>SUM(D34:D38)</f>
        <v>135</v>
      </c>
      <c r="E39" s="570">
        <f>SUM(E34:E38)</f>
        <v>135</v>
      </c>
      <c r="F39" s="335"/>
      <c r="G39" s="335"/>
      <c r="H39" s="335"/>
      <c r="I39" s="335"/>
      <c r="J39" s="335"/>
      <c r="K39" s="335"/>
      <c r="L39" s="335"/>
      <c r="M39" s="335"/>
      <c r="N39" s="335"/>
      <c r="O39" s="346"/>
    </row>
    <row r="40" spans="1:15">
      <c r="A40" s="823" t="s">
        <v>288</v>
      </c>
      <c r="B40" s="158" t="s">
        <v>287</v>
      </c>
      <c r="C40" s="571">
        <v>1</v>
      </c>
      <c r="D40" s="571">
        <v>1</v>
      </c>
      <c r="E40" s="571">
        <v>1</v>
      </c>
      <c r="F40" s="168"/>
      <c r="G40" s="158"/>
      <c r="H40" s="158"/>
      <c r="I40" s="216"/>
      <c r="J40" s="158"/>
      <c r="K40" s="216"/>
      <c r="L40" s="158"/>
      <c r="M40" s="216"/>
      <c r="N40" s="158"/>
      <c r="O40" s="331"/>
    </row>
    <row r="41" spans="1:15">
      <c r="A41" s="822"/>
      <c r="B41" s="334" t="s">
        <v>286</v>
      </c>
      <c r="C41" s="572">
        <v>25</v>
      </c>
      <c r="D41" s="572">
        <v>25</v>
      </c>
      <c r="E41" s="572">
        <v>25</v>
      </c>
      <c r="F41" s="520"/>
      <c r="G41" s="334"/>
      <c r="H41" s="334"/>
      <c r="I41" s="335"/>
      <c r="J41" s="334"/>
      <c r="K41" s="335"/>
      <c r="L41" s="334"/>
      <c r="M41" s="335"/>
      <c r="N41" s="334"/>
      <c r="O41" s="336"/>
    </row>
    <row r="42" spans="1:15" ht="29" customHeight="1" thickBot="1">
      <c r="A42" s="348" t="s">
        <v>270</v>
      </c>
      <c r="B42" s="538" t="s">
        <v>241</v>
      </c>
      <c r="C42" s="573">
        <f>+C39*C40*C41</f>
        <v>3350</v>
      </c>
      <c r="D42" s="573">
        <f>+D39*D40*D41</f>
        <v>3375</v>
      </c>
      <c r="E42" s="574">
        <f>+E39*E40*E41</f>
        <v>3375</v>
      </c>
      <c r="F42" s="528"/>
      <c r="G42" s="527"/>
      <c r="H42" s="824"/>
      <c r="I42" s="824"/>
      <c r="J42" s="824"/>
      <c r="K42" s="824"/>
      <c r="L42" s="824"/>
      <c r="M42" s="824"/>
      <c r="N42" s="824"/>
      <c r="O42" s="825"/>
    </row>
    <row r="43" spans="1:15" ht="15.5" thickTop="1" thickBot="1">
      <c r="A43" s="826" t="s">
        <v>303</v>
      </c>
      <c r="B43" s="827"/>
      <c r="C43" s="827"/>
      <c r="D43" s="827"/>
      <c r="E43" s="827"/>
      <c r="F43" s="827"/>
      <c r="G43" s="827"/>
      <c r="H43" s="827"/>
      <c r="I43" s="827"/>
      <c r="J43" s="827"/>
      <c r="K43" s="827"/>
      <c r="L43" s="827"/>
      <c r="M43" s="827"/>
      <c r="N43" s="827"/>
      <c r="O43" s="828"/>
    </row>
    <row r="44" spans="1:15" ht="15" customHeight="1" thickTop="1">
      <c r="A44" s="820" t="s">
        <v>273</v>
      </c>
      <c r="B44" s="342" t="s">
        <v>278</v>
      </c>
      <c r="C44" s="564">
        <f>+C11</f>
        <v>15</v>
      </c>
      <c r="D44" s="564">
        <f>+D11</f>
        <v>15</v>
      </c>
      <c r="E44" s="564">
        <f>+E11</f>
        <v>15</v>
      </c>
      <c r="F44" s="514"/>
      <c r="G44" s="833" t="str">
        <f>+G11</f>
        <v>Memorial Day (May 25) - Labor Day (Sept 7)</v>
      </c>
      <c r="H44" s="833"/>
      <c r="I44" s="833"/>
      <c r="J44" s="833"/>
      <c r="K44" s="833"/>
      <c r="L44" s="833"/>
      <c r="M44" s="833"/>
      <c r="N44" s="833"/>
      <c r="O44" s="834"/>
    </row>
    <row r="45" spans="1:15">
      <c r="A45" s="821"/>
      <c r="B45" s="328" t="s">
        <v>277</v>
      </c>
      <c r="C45" s="565">
        <v>1</v>
      </c>
      <c r="D45" s="565">
        <v>1</v>
      </c>
      <c r="E45" s="565">
        <v>1</v>
      </c>
      <c r="F45" s="515"/>
      <c r="G45" s="835"/>
      <c r="H45" s="835"/>
      <c r="I45" s="835"/>
      <c r="J45" s="835"/>
      <c r="K45" s="835"/>
      <c r="L45" s="835"/>
      <c r="M45" s="835"/>
      <c r="N45" s="835"/>
      <c r="O45" s="836"/>
    </row>
    <row r="46" spans="1:15">
      <c r="A46" s="822"/>
      <c r="B46" s="334" t="s">
        <v>275</v>
      </c>
      <c r="C46" s="566">
        <f>+C44*C45</f>
        <v>15</v>
      </c>
      <c r="D46" s="566">
        <f>+D44*D45</f>
        <v>15</v>
      </c>
      <c r="E46" s="566">
        <f>+E44*E45</f>
        <v>15</v>
      </c>
      <c r="F46" s="516"/>
      <c r="G46" s="334"/>
      <c r="H46" s="334"/>
      <c r="I46" s="335"/>
      <c r="J46" s="334"/>
      <c r="K46" s="335"/>
      <c r="L46" s="334"/>
      <c r="M46" s="335"/>
      <c r="N46" s="334"/>
      <c r="O46" s="336"/>
    </row>
    <row r="47" spans="1:15">
      <c r="A47" s="823" t="s">
        <v>288</v>
      </c>
      <c r="B47" s="158" t="s">
        <v>289</v>
      </c>
      <c r="C47" s="571">
        <v>3</v>
      </c>
      <c r="D47" s="571">
        <v>3</v>
      </c>
      <c r="E47" s="571">
        <v>3</v>
      </c>
      <c r="F47" s="168"/>
      <c r="G47" s="158" t="s">
        <v>290</v>
      </c>
      <c r="I47" s="216"/>
      <c r="J47" s="158"/>
      <c r="K47" s="216"/>
      <c r="L47" s="158"/>
      <c r="M47" s="216"/>
      <c r="N47" s="158"/>
      <c r="O47" s="331"/>
    </row>
    <row r="48" spans="1:15">
      <c r="A48" s="822"/>
      <c r="B48" s="334" t="s">
        <v>291</v>
      </c>
      <c r="C48" s="572">
        <v>50</v>
      </c>
      <c r="D48" s="572">
        <v>50</v>
      </c>
      <c r="E48" s="572">
        <v>50</v>
      </c>
      <c r="F48" s="520"/>
      <c r="G48" s="334"/>
      <c r="H48" s="334"/>
      <c r="I48" s="335"/>
      <c r="J48" s="334"/>
      <c r="K48" s="335"/>
      <c r="L48" s="334"/>
      <c r="M48" s="335"/>
      <c r="N48" s="334"/>
      <c r="O48" s="336"/>
    </row>
    <row r="49" spans="1:16" ht="15" thickBot="1">
      <c r="A49" s="362" t="s">
        <v>270</v>
      </c>
      <c r="B49" s="360" t="s">
        <v>295</v>
      </c>
      <c r="C49" s="575">
        <f>+C46*C47*C48</f>
        <v>2250</v>
      </c>
      <c r="D49" s="575">
        <f>+D46*D47*D48</f>
        <v>2250</v>
      </c>
      <c r="E49" s="575">
        <f>+E46*E47*E48</f>
        <v>2250</v>
      </c>
      <c r="F49" s="521"/>
      <c r="G49" s="216"/>
      <c r="H49" s="216"/>
      <c r="I49" s="216"/>
      <c r="J49" s="216"/>
      <c r="K49" s="216"/>
      <c r="L49" s="216"/>
      <c r="M49" s="216"/>
      <c r="N49" s="216"/>
      <c r="O49" s="361"/>
    </row>
    <row r="50" spans="1:16" ht="15" customHeight="1">
      <c r="A50" s="851" t="s">
        <v>288</v>
      </c>
      <c r="B50" s="363" t="s">
        <v>297</v>
      </c>
      <c r="C50" s="576">
        <v>2</v>
      </c>
      <c r="D50" s="576">
        <v>2</v>
      </c>
      <c r="E50" s="576">
        <v>2</v>
      </c>
      <c r="F50" s="522"/>
      <c r="G50" s="363" t="s">
        <v>290</v>
      </c>
      <c r="H50" s="363"/>
      <c r="I50" s="364"/>
      <c r="J50" s="363"/>
      <c r="K50" s="364"/>
      <c r="L50" s="363"/>
      <c r="M50" s="364"/>
      <c r="N50" s="363"/>
      <c r="O50" s="365"/>
    </row>
    <row r="51" spans="1:16" ht="15" customHeight="1">
      <c r="A51" s="822"/>
      <c r="B51" s="334" t="s">
        <v>296</v>
      </c>
      <c r="C51" s="572">
        <v>25</v>
      </c>
      <c r="D51" s="572">
        <v>25</v>
      </c>
      <c r="E51" s="572">
        <v>25</v>
      </c>
      <c r="F51" s="520"/>
      <c r="G51" s="334"/>
      <c r="H51" s="334"/>
      <c r="I51" s="335"/>
      <c r="J51" s="334"/>
      <c r="K51" s="335"/>
      <c r="L51" s="334"/>
      <c r="M51" s="335"/>
      <c r="N51" s="334"/>
      <c r="O51" s="336"/>
    </row>
    <row r="52" spans="1:16" ht="15" thickBot="1">
      <c r="A52" s="366" t="s">
        <v>270</v>
      </c>
      <c r="B52" s="367" t="s">
        <v>298</v>
      </c>
      <c r="C52" s="577">
        <f>+C44*C50*C51</f>
        <v>750</v>
      </c>
      <c r="D52" s="577">
        <f>+D44*D50*D51</f>
        <v>750</v>
      </c>
      <c r="E52" s="577">
        <f>+E44*E50*E51</f>
        <v>750</v>
      </c>
      <c r="F52" s="523"/>
      <c r="G52" s="368"/>
      <c r="H52" s="368"/>
      <c r="I52" s="368"/>
      <c r="J52" s="368"/>
      <c r="K52" s="368"/>
      <c r="L52" s="368"/>
      <c r="M52" s="368"/>
      <c r="N52" s="368"/>
      <c r="O52" s="369"/>
    </row>
    <row r="53" spans="1:16" ht="15" thickBot="1">
      <c r="A53" s="348" t="s">
        <v>270</v>
      </c>
      <c r="B53" s="340" t="s">
        <v>299</v>
      </c>
      <c r="C53" s="578">
        <f>+C49+C52</f>
        <v>3000</v>
      </c>
      <c r="D53" s="578">
        <f>+D49+D52</f>
        <v>3000</v>
      </c>
      <c r="E53" s="579">
        <f>+E49+E52</f>
        <v>3000</v>
      </c>
      <c r="F53" s="529"/>
      <c r="G53" s="484"/>
      <c r="H53" s="484"/>
      <c r="I53" s="484"/>
      <c r="J53" s="484"/>
      <c r="K53" s="484"/>
      <c r="L53" s="484"/>
      <c r="M53" s="484"/>
      <c r="N53" s="484"/>
      <c r="O53" s="526"/>
    </row>
    <row r="54" spans="1:16" ht="15.5" thickTop="1" thickBot="1">
      <c r="A54" s="826" t="s">
        <v>242</v>
      </c>
      <c r="B54" s="827"/>
      <c r="C54" s="827"/>
      <c r="D54" s="827"/>
      <c r="E54" s="827"/>
      <c r="F54" s="827"/>
      <c r="G54" s="827"/>
      <c r="H54" s="827"/>
      <c r="I54" s="827"/>
      <c r="J54" s="827"/>
      <c r="K54" s="827"/>
      <c r="L54" s="827"/>
      <c r="M54" s="827"/>
      <c r="N54" s="827"/>
      <c r="O54" s="828"/>
    </row>
    <row r="55" spans="1:16" ht="15" customHeight="1" thickTop="1">
      <c r="A55" s="820" t="s">
        <v>273</v>
      </c>
      <c r="B55" s="342" t="s">
        <v>278</v>
      </c>
      <c r="C55" s="564">
        <f>+C15</f>
        <v>37</v>
      </c>
      <c r="D55" s="564">
        <f>+D15</f>
        <v>37</v>
      </c>
      <c r="E55" s="564">
        <f>+E15</f>
        <v>37</v>
      </c>
      <c r="F55" s="514"/>
      <c r="G55" s="342"/>
      <c r="H55" s="342" t="s">
        <v>293</v>
      </c>
      <c r="I55" s="343"/>
      <c r="J55" s="342"/>
      <c r="K55" s="343"/>
      <c r="L55" s="342"/>
      <c r="M55" s="343"/>
      <c r="N55" s="342"/>
      <c r="O55" s="344"/>
    </row>
    <row r="56" spans="1:16">
      <c r="A56" s="821"/>
      <c r="B56" s="328" t="s">
        <v>277</v>
      </c>
      <c r="C56" s="565">
        <v>1</v>
      </c>
      <c r="D56" s="565">
        <v>1</v>
      </c>
      <c r="E56" s="565">
        <v>1</v>
      </c>
      <c r="F56" s="515"/>
      <c r="G56" s="328"/>
      <c r="H56" s="328"/>
      <c r="I56" s="195"/>
      <c r="J56" s="328"/>
      <c r="K56" s="195"/>
      <c r="L56" s="328"/>
      <c r="M56" s="195"/>
      <c r="N56" s="328"/>
      <c r="O56" s="332"/>
    </row>
    <row r="57" spans="1:16">
      <c r="A57" s="822"/>
      <c r="B57" s="334" t="s">
        <v>275</v>
      </c>
      <c r="C57" s="566">
        <f>+C55*C56</f>
        <v>37</v>
      </c>
      <c r="D57" s="566">
        <f>+D55*D56</f>
        <v>37</v>
      </c>
      <c r="E57" s="566">
        <f>+E55*E56</f>
        <v>37</v>
      </c>
      <c r="F57" s="516"/>
      <c r="G57" s="334"/>
      <c r="H57" s="334"/>
      <c r="I57" s="335"/>
      <c r="J57" s="334"/>
      <c r="K57" s="335"/>
      <c r="L57" s="334"/>
      <c r="M57" s="335"/>
      <c r="N57" s="334"/>
      <c r="O57" s="336"/>
    </row>
    <row r="58" spans="1:16">
      <c r="A58" s="823" t="s">
        <v>288</v>
      </c>
      <c r="B58" s="158" t="s">
        <v>294</v>
      </c>
      <c r="C58" s="571">
        <v>1</v>
      </c>
      <c r="D58" s="571">
        <v>1</v>
      </c>
      <c r="E58" s="571">
        <v>1</v>
      </c>
      <c r="F58" s="168"/>
      <c r="G58" s="158"/>
      <c r="H58" s="158"/>
      <c r="I58" s="216"/>
      <c r="J58" s="158"/>
      <c r="K58" s="216"/>
      <c r="L58" s="158"/>
      <c r="M58" s="216"/>
      <c r="N58" s="158"/>
      <c r="O58" s="331"/>
    </row>
    <row r="59" spans="1:16">
      <c r="A59" s="822"/>
      <c r="B59" s="334" t="s">
        <v>291</v>
      </c>
      <c r="C59" s="572">
        <v>25</v>
      </c>
      <c r="D59" s="572">
        <v>25</v>
      </c>
      <c r="E59" s="572">
        <v>25</v>
      </c>
      <c r="F59" s="520"/>
      <c r="G59" s="334"/>
      <c r="H59" s="334"/>
      <c r="I59" s="335"/>
      <c r="J59" s="334"/>
      <c r="K59" s="335"/>
      <c r="L59" s="334"/>
      <c r="M59" s="335"/>
      <c r="N59" s="334"/>
      <c r="O59" s="336"/>
    </row>
    <row r="60" spans="1:16" ht="15" thickBot="1">
      <c r="A60" s="348" t="s">
        <v>270</v>
      </c>
      <c r="B60" s="538" t="s">
        <v>292</v>
      </c>
      <c r="C60" s="573">
        <f>+C57*C58*C59</f>
        <v>925</v>
      </c>
      <c r="D60" s="573">
        <f>+D57*D58*D59</f>
        <v>925</v>
      </c>
      <c r="E60" s="574">
        <f>+E57*E58*E59</f>
        <v>925</v>
      </c>
      <c r="F60" s="528"/>
      <c r="G60" s="527"/>
      <c r="H60" s="527"/>
      <c r="I60" s="527"/>
      <c r="J60" s="527"/>
      <c r="K60" s="527"/>
      <c r="L60" s="527"/>
      <c r="M60" s="527"/>
      <c r="N60" s="527"/>
      <c r="O60" s="530"/>
      <c r="P60" s="214"/>
    </row>
    <row r="61" spans="1:16" ht="15.5" thickTop="1" thickBot="1">
      <c r="C61" s="329"/>
      <c r="D61" s="329"/>
      <c r="E61" s="329"/>
      <c r="F61" s="531"/>
      <c r="G61" s="214"/>
      <c r="H61" s="214"/>
      <c r="I61" s="214"/>
      <c r="J61" s="214"/>
      <c r="K61" s="214"/>
      <c r="L61" s="214"/>
      <c r="M61" s="214"/>
      <c r="N61" s="214"/>
      <c r="O61" s="214"/>
      <c r="P61" s="214"/>
    </row>
    <row r="62" spans="1:16" ht="15.5" thickTop="1" thickBot="1">
      <c r="A62" s="826" t="s">
        <v>385</v>
      </c>
      <c r="B62" s="827"/>
      <c r="C62" s="580">
        <f>+C13+C30+C42+C53+C60</f>
        <v>23565</v>
      </c>
      <c r="D62" s="580">
        <f>+D13+D30+D42+D53+D60</f>
        <v>24160</v>
      </c>
      <c r="E62" s="581">
        <f>+E13+E30+E42+E53+E60</f>
        <v>24191</v>
      </c>
      <c r="F62" s="533"/>
      <c r="G62" s="195"/>
      <c r="H62" s="195"/>
      <c r="I62" s="195"/>
      <c r="J62" s="195"/>
      <c r="K62" s="195"/>
      <c r="L62" s="195"/>
      <c r="M62" s="195"/>
      <c r="N62" s="195"/>
      <c r="O62" s="195"/>
      <c r="P62" s="195"/>
    </row>
    <row r="63" spans="1:16" ht="15" thickTop="1">
      <c r="A63" s="837" t="s">
        <v>386</v>
      </c>
      <c r="B63" s="838"/>
      <c r="C63" s="482"/>
      <c r="D63" s="482"/>
      <c r="E63" s="483">
        <f>+E62-D62</f>
        <v>31</v>
      </c>
      <c r="F63" s="533"/>
      <c r="G63" s="195"/>
      <c r="H63" s="195"/>
      <c r="I63" s="195"/>
      <c r="J63" s="195"/>
      <c r="K63" s="195"/>
      <c r="L63" s="195"/>
      <c r="M63" s="195"/>
      <c r="N63" s="195"/>
      <c r="O63" s="195"/>
      <c r="P63" s="328"/>
    </row>
    <row r="64" spans="1:16" ht="15" thickBot="1">
      <c r="A64" s="839"/>
      <c r="B64" s="840"/>
      <c r="C64" s="529"/>
      <c r="D64" s="529"/>
      <c r="E64" s="535">
        <f>+E63/C62</f>
        <v>1.3155102906853384E-3</v>
      </c>
      <c r="F64" s="534"/>
      <c r="G64" s="195"/>
      <c r="H64" s="195"/>
      <c r="I64" s="195"/>
      <c r="J64" s="195"/>
      <c r="K64" s="195"/>
      <c r="L64" s="195"/>
      <c r="M64" s="195"/>
      <c r="N64" s="195"/>
      <c r="O64" s="195"/>
      <c r="P64" s="328"/>
    </row>
    <row r="65" spans="4:16" ht="15" thickTop="1">
      <c r="F65" s="328"/>
      <c r="G65" s="328"/>
      <c r="H65" s="328"/>
      <c r="I65" s="195"/>
      <c r="J65" s="328"/>
      <c r="K65" s="195"/>
      <c r="L65" s="328"/>
      <c r="M65" s="195"/>
      <c r="N65" s="328"/>
      <c r="O65" s="328"/>
      <c r="P65" s="328"/>
    </row>
    <row r="66" spans="4:16">
      <c r="D66" s="151"/>
      <c r="I66" s="214"/>
      <c r="K66" s="214"/>
      <c r="M66" s="214"/>
    </row>
    <row r="67" spans="4:16">
      <c r="I67" s="214"/>
      <c r="K67" s="214"/>
      <c r="M67" s="214"/>
    </row>
    <row r="68" spans="4:16">
      <c r="I68" s="214"/>
      <c r="K68" s="214"/>
      <c r="M68" s="214"/>
    </row>
    <row r="69" spans="4:16">
      <c r="I69" s="214"/>
      <c r="K69" s="214"/>
      <c r="M69" s="214"/>
    </row>
    <row r="70" spans="4:16">
      <c r="I70" s="214"/>
      <c r="K70" s="214"/>
      <c r="M70" s="214"/>
    </row>
    <row r="71" spans="4:16">
      <c r="I71" s="214"/>
      <c r="K71" s="214"/>
      <c r="M71" s="214"/>
    </row>
    <row r="72" spans="4:16">
      <c r="I72" s="214"/>
      <c r="K72" s="214"/>
      <c r="M72" s="214"/>
    </row>
    <row r="73" spans="4:16">
      <c r="I73" s="214"/>
      <c r="K73" s="214"/>
      <c r="M73" s="214"/>
    </row>
    <row r="74" spans="4:16">
      <c r="I74" s="214"/>
      <c r="K74" s="214"/>
      <c r="M74" s="214"/>
    </row>
    <row r="75" spans="4:16">
      <c r="I75" s="214"/>
      <c r="K75" s="214"/>
      <c r="M75" s="214"/>
    </row>
    <row r="76" spans="4:16">
      <c r="I76" s="214"/>
      <c r="K76" s="214"/>
      <c r="M76" s="214"/>
    </row>
    <row r="77" spans="4:16">
      <c r="I77" s="214"/>
      <c r="K77" s="214"/>
      <c r="M77" s="214"/>
    </row>
    <row r="78" spans="4:16">
      <c r="I78" s="214"/>
      <c r="K78" s="214"/>
      <c r="M78" s="214"/>
    </row>
    <row r="79" spans="4:16">
      <c r="I79" s="214"/>
      <c r="K79" s="214"/>
      <c r="M79" s="214"/>
    </row>
    <row r="80" spans="4:16">
      <c r="I80" s="214"/>
      <c r="K80" s="214"/>
      <c r="M80" s="214"/>
    </row>
  </sheetData>
  <mergeCells count="23">
    <mergeCell ref="A63:B64"/>
    <mergeCell ref="A55:A57"/>
    <mergeCell ref="A58:A59"/>
    <mergeCell ref="A62:B62"/>
    <mergeCell ref="A15:A23"/>
    <mergeCell ref="A24:A27"/>
    <mergeCell ref="A28:A30"/>
    <mergeCell ref="A32:A39"/>
    <mergeCell ref="A40:A41"/>
    <mergeCell ref="A50:A51"/>
    <mergeCell ref="A31:O31"/>
    <mergeCell ref="A43:O43"/>
    <mergeCell ref="A54:O54"/>
    <mergeCell ref="A1:O1"/>
    <mergeCell ref="A44:A46"/>
    <mergeCell ref="A47:A48"/>
    <mergeCell ref="H42:O42"/>
    <mergeCell ref="A14:O14"/>
    <mergeCell ref="F4:O4"/>
    <mergeCell ref="G13:O13"/>
    <mergeCell ref="G15:O16"/>
    <mergeCell ref="G44:O45"/>
    <mergeCell ref="A2:O2"/>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xl/worksheets/sheet12.xml><?xml version="1.0" encoding="utf-8"?>
<worksheet xmlns="http://schemas.openxmlformats.org/spreadsheetml/2006/main" xmlns:r="http://schemas.openxmlformats.org/officeDocument/2006/relationships">
  <sheetPr>
    <pageSetUpPr fitToPage="1"/>
  </sheetPr>
  <dimension ref="A1:G59"/>
  <sheetViews>
    <sheetView showGridLines="0" workbookViewId="0">
      <selection activeCell="B8" sqref="B8"/>
    </sheetView>
  </sheetViews>
  <sheetFormatPr defaultRowHeight="15.5"/>
  <cols>
    <col min="1" max="1" width="1.7265625" style="372" customWidth="1"/>
    <col min="2" max="2" width="43.54296875" style="372" customWidth="1"/>
    <col min="3" max="3" width="10.26953125" style="404" customWidth="1"/>
    <col min="4" max="4" width="58.90625" style="372" customWidth="1"/>
    <col min="5" max="16384" width="8.7265625" style="372"/>
  </cols>
  <sheetData>
    <row r="1" spans="1:5" ht="20">
      <c r="A1" s="855" t="s">
        <v>87</v>
      </c>
      <c r="B1" s="855"/>
      <c r="C1" s="855"/>
      <c r="D1" s="855"/>
      <c r="E1" s="855"/>
    </row>
    <row r="2" spans="1:5" ht="18.5" customHeight="1">
      <c r="A2" s="856" t="s">
        <v>549</v>
      </c>
      <c r="B2" s="856"/>
      <c r="C2" s="856"/>
      <c r="D2" s="856"/>
      <c r="E2" s="856"/>
    </row>
    <row r="3" spans="1:5" ht="18.5" customHeight="1" thickBot="1">
      <c r="A3" s="599"/>
      <c r="B3" s="599"/>
      <c r="C3" s="599"/>
      <c r="D3" s="599"/>
      <c r="E3" s="599"/>
    </row>
    <row r="4" spans="1:5" ht="30" customHeight="1" thickBot="1">
      <c r="A4" s="599"/>
      <c r="B4" s="852" t="s">
        <v>442</v>
      </c>
      <c r="C4" s="853"/>
      <c r="D4" s="853"/>
      <c r="E4" s="854"/>
    </row>
    <row r="5" spans="1:5">
      <c r="B5" s="600" t="s">
        <v>550</v>
      </c>
      <c r="C5" s="601">
        <f>+'New Year-Full Year'!P108+'New Year-Full Year'!P110</f>
        <v>58210</v>
      </c>
      <c r="D5" s="873" t="str">
        <f>+"Annually  ($"&amp;'New Year-Full Year'!P108-22000&amp;" salary, $22000 housing, and $"&amp;'New Year-Full Year'!P110&amp;" FICA Tax)"</f>
        <v>Annually  ($30510 salary, $22000 housing, and $5700 FICA Tax)</v>
      </c>
      <c r="E5" s="874"/>
    </row>
    <row r="6" spans="1:5" ht="16" thickBot="1">
      <c r="B6" s="603" t="s">
        <v>440</v>
      </c>
      <c r="C6" s="602">
        <f>+'New Year-Full Year'!P112</f>
        <v>16544</v>
      </c>
      <c r="D6" s="857" t="s">
        <v>439</v>
      </c>
      <c r="E6" s="858"/>
    </row>
    <row r="7" spans="1:5">
      <c r="B7" s="600" t="s">
        <v>551</v>
      </c>
      <c r="C7" s="601">
        <f>+'New Year-Full Year'!P121+'New Year-Full Year'!P123</f>
        <v>70066</v>
      </c>
      <c r="D7" s="873" t="str">
        <f>+"Annually  ($"&amp;'New Year-Full Year'!P121-20000&amp;" salary, $20000 housing, and $"&amp;'New Year-Full Year'!P123&amp;" FICA Tax)"</f>
        <v>Annually  ($45087 salary, $20000 housing, and $4979 FICA Tax)</v>
      </c>
      <c r="E7" s="874"/>
    </row>
    <row r="8" spans="1:5" ht="16" thickBot="1">
      <c r="B8" s="603" t="s">
        <v>440</v>
      </c>
      <c r="C8" s="602">
        <f>+'New Year-Full Year'!P124</f>
        <v>11211</v>
      </c>
      <c r="D8" s="857" t="s">
        <v>439</v>
      </c>
      <c r="E8" s="858"/>
    </row>
    <row r="9" spans="1:5" ht="18.5" customHeight="1" thickBot="1">
      <c r="A9" s="599"/>
      <c r="B9" s="599"/>
      <c r="C9" s="599"/>
      <c r="D9" s="599"/>
      <c r="E9" s="599"/>
    </row>
    <row r="10" spans="1:5" ht="30" customHeight="1" thickBot="1">
      <c r="A10" s="380"/>
      <c r="B10" s="398" t="s">
        <v>310</v>
      </c>
      <c r="C10" s="399" t="s">
        <v>312</v>
      </c>
      <c r="D10" s="380"/>
      <c r="E10" s="749"/>
    </row>
    <row r="11" spans="1:5" ht="18.5" customHeight="1">
      <c r="A11" s="380"/>
      <c r="B11" s="394" t="s">
        <v>441</v>
      </c>
      <c r="C11" s="395">
        <f>+'New Year-Full Year'!F145</f>
        <v>10</v>
      </c>
      <c r="D11" s="380"/>
      <c r="E11" s="380"/>
    </row>
    <row r="12" spans="1:5" ht="18.5" customHeight="1">
      <c r="A12" s="380"/>
      <c r="B12" s="394" t="s">
        <v>433</v>
      </c>
      <c r="C12" s="395">
        <f>+'New Year-Full Year'!F161</f>
        <v>17.510000000000002</v>
      </c>
      <c r="D12" s="875"/>
      <c r="E12" s="380"/>
    </row>
    <row r="13" spans="1:5" ht="18.5" customHeight="1">
      <c r="A13" s="380"/>
      <c r="B13" s="394" t="s">
        <v>434</v>
      </c>
      <c r="C13" s="395">
        <f>+'New Year-Full Year'!F163</f>
        <v>13.78</v>
      </c>
      <c r="D13" s="380"/>
      <c r="E13" s="380"/>
    </row>
    <row r="14" spans="1:5" ht="18.5" customHeight="1">
      <c r="A14" s="380"/>
      <c r="B14" s="394" t="s">
        <v>435</v>
      </c>
      <c r="C14" s="395">
        <f>+'New Year-Full Year'!F164</f>
        <v>11.69</v>
      </c>
      <c r="D14" s="380"/>
      <c r="E14" s="380"/>
    </row>
    <row r="15" spans="1:5" ht="18.5" customHeight="1">
      <c r="A15" s="380"/>
      <c r="B15" s="394" t="s">
        <v>436</v>
      </c>
      <c r="C15" s="395">
        <f>+'New Year-Full Year'!F165</f>
        <v>11.33</v>
      </c>
      <c r="D15" s="380"/>
      <c r="E15" s="380"/>
    </row>
    <row r="16" spans="1:5" ht="18.5" customHeight="1" thickBot="1">
      <c r="A16" s="380"/>
      <c r="B16" s="396" t="s">
        <v>437</v>
      </c>
      <c r="C16" s="397">
        <f>+'New Year-Full Year'!F169</f>
        <v>14.72</v>
      </c>
      <c r="D16" s="380"/>
      <c r="E16" s="380"/>
    </row>
    <row r="17" spans="1:7" ht="8" customHeight="1">
      <c r="A17" s="380"/>
      <c r="B17" s="380"/>
      <c r="C17" s="380"/>
      <c r="D17" s="380"/>
      <c r="E17" s="380"/>
    </row>
    <row r="18" spans="1:7" ht="18.5" customHeight="1" thickBot="1">
      <c r="A18" s="380"/>
      <c r="B18" s="371" t="s">
        <v>309</v>
      </c>
      <c r="C18" s="380"/>
      <c r="D18" s="380"/>
      <c r="E18" s="380"/>
    </row>
    <row r="19" spans="1:7" ht="16" thickBot="1">
      <c r="A19" s="373"/>
      <c r="B19" s="385" t="s">
        <v>314</v>
      </c>
      <c r="C19" s="401"/>
      <c r="D19" s="866" t="s">
        <v>313</v>
      </c>
      <c r="E19" s="867"/>
    </row>
    <row r="20" spans="1:7" ht="67" customHeight="1" thickBot="1">
      <c r="B20" s="400" t="s">
        <v>240</v>
      </c>
      <c r="C20" s="458">
        <f>+'Band and Other Music'!E13</f>
        <v>3091</v>
      </c>
      <c r="D20" s="864" t="s">
        <v>311</v>
      </c>
      <c r="E20" s="865"/>
    </row>
    <row r="21" spans="1:7" ht="33" customHeight="1" thickBot="1">
      <c r="B21" s="400" t="s">
        <v>109</v>
      </c>
      <c r="C21" s="458">
        <f>+'New Year-Full Year'!P149</f>
        <v>16398</v>
      </c>
      <c r="D21" s="864" t="s">
        <v>204</v>
      </c>
      <c r="E21" s="865"/>
    </row>
    <row r="22" spans="1:7" ht="33" customHeight="1" thickBot="1">
      <c r="B22" s="400" t="s">
        <v>438</v>
      </c>
      <c r="C22" s="458">
        <f>+'New Year-Full Year'!P155</f>
        <v>7710</v>
      </c>
      <c r="D22" s="864" t="s">
        <v>204</v>
      </c>
      <c r="E22" s="865"/>
    </row>
    <row r="23" spans="1:7" ht="16" thickBot="1">
      <c r="A23" s="381"/>
      <c r="B23" s="374"/>
      <c r="C23" s="402"/>
      <c r="D23" s="374"/>
    </row>
    <row r="24" spans="1:7" ht="16" thickBot="1">
      <c r="A24" s="375"/>
      <c r="B24" s="385" t="s">
        <v>271</v>
      </c>
      <c r="C24" s="401"/>
      <c r="D24" s="386"/>
      <c r="E24" s="387"/>
    </row>
    <row r="25" spans="1:7">
      <c r="A25" s="859"/>
      <c r="B25" s="382" t="s">
        <v>315</v>
      </c>
      <c r="C25" s="459">
        <f>+'Band and Other Music'!E24</f>
        <v>6</v>
      </c>
      <c r="D25" s="860" t="s">
        <v>370</v>
      </c>
      <c r="E25" s="861"/>
    </row>
    <row r="26" spans="1:7">
      <c r="A26" s="859"/>
      <c r="B26" s="382" t="s">
        <v>367</v>
      </c>
      <c r="C26" s="459">
        <f>+'Band and Other Music'!E25</f>
        <v>3</v>
      </c>
      <c r="D26" s="860"/>
      <c r="E26" s="861"/>
    </row>
    <row r="27" spans="1:7">
      <c r="A27" s="859"/>
      <c r="B27" s="382" t="s">
        <v>267</v>
      </c>
      <c r="C27" s="460">
        <f>+'Band and Other Music'!E26</f>
        <v>25</v>
      </c>
      <c r="D27" s="860"/>
      <c r="E27" s="861"/>
      <c r="G27" s="376"/>
    </row>
    <row r="28" spans="1:7" ht="16" thickBot="1">
      <c r="A28" s="859"/>
      <c r="B28" s="383" t="s">
        <v>371</v>
      </c>
      <c r="C28" s="461">
        <f>+'Band and Other Music'!E27</f>
        <v>30</v>
      </c>
      <c r="D28" s="862"/>
      <c r="E28" s="863"/>
    </row>
    <row r="29" spans="1:7" ht="16" thickBot="1">
      <c r="A29" s="375"/>
    </row>
    <row r="30" spans="1:7" ht="16" thickBot="1">
      <c r="A30" s="375"/>
      <c r="B30" s="385" t="s">
        <v>272</v>
      </c>
      <c r="C30" s="401"/>
      <c r="D30" s="386"/>
      <c r="E30" s="387"/>
    </row>
    <row r="31" spans="1:7">
      <c r="A31" s="859"/>
      <c r="B31" s="382" t="s">
        <v>316</v>
      </c>
      <c r="C31" s="459">
        <f>+'Band and Other Music'!E40</f>
        <v>1</v>
      </c>
      <c r="D31" s="860" t="s">
        <v>308</v>
      </c>
      <c r="E31" s="861"/>
    </row>
    <row r="32" spans="1:7" ht="16" thickBot="1">
      <c r="A32" s="859"/>
      <c r="B32" s="383" t="s">
        <v>286</v>
      </c>
      <c r="C32" s="461">
        <f>+'Band and Other Music'!E41</f>
        <v>25</v>
      </c>
      <c r="D32" s="862"/>
      <c r="E32" s="863"/>
    </row>
    <row r="33" spans="1:5" ht="16" thickBot="1">
      <c r="A33" s="375"/>
    </row>
    <row r="34" spans="1:5" ht="16" thickBot="1">
      <c r="A34" s="375"/>
      <c r="B34" s="385" t="s">
        <v>303</v>
      </c>
      <c r="C34" s="401"/>
      <c r="D34" s="386"/>
      <c r="E34" s="387"/>
    </row>
    <row r="35" spans="1:5">
      <c r="A35" s="859"/>
      <c r="B35" s="382" t="s">
        <v>317</v>
      </c>
      <c r="C35" s="459">
        <f>+'Band and Other Music'!E47</f>
        <v>3</v>
      </c>
      <c r="D35" s="375" t="s">
        <v>290</v>
      </c>
      <c r="E35" s="388"/>
    </row>
    <row r="36" spans="1:5" ht="16" thickBot="1">
      <c r="A36" s="859"/>
      <c r="B36" s="390" t="s">
        <v>291</v>
      </c>
      <c r="C36" s="462">
        <f>+'Band and Other Music'!E48</f>
        <v>50</v>
      </c>
      <c r="D36" s="377"/>
      <c r="E36" s="391"/>
    </row>
    <row r="37" spans="1:5" ht="15" customHeight="1">
      <c r="A37" s="859"/>
      <c r="B37" s="392" t="s">
        <v>318</v>
      </c>
      <c r="C37" s="463">
        <f>+'Band and Other Music'!E50</f>
        <v>2</v>
      </c>
      <c r="D37" s="378" t="s">
        <v>290</v>
      </c>
      <c r="E37" s="393"/>
    </row>
    <row r="38" spans="1:5" ht="15" customHeight="1" thickBot="1">
      <c r="A38" s="859"/>
      <c r="B38" s="383" t="s">
        <v>296</v>
      </c>
      <c r="C38" s="461">
        <f>+'Band and Other Music'!E51</f>
        <v>25</v>
      </c>
      <c r="D38" s="384"/>
      <c r="E38" s="389"/>
    </row>
    <row r="39" spans="1:5" ht="16" thickBot="1">
      <c r="A39" s="379"/>
      <c r="B39" s="375"/>
      <c r="C39" s="403"/>
      <c r="D39" s="375"/>
      <c r="E39" s="375"/>
    </row>
    <row r="40" spans="1:5" ht="16" thickBot="1">
      <c r="A40" s="375"/>
      <c r="B40" s="385" t="s">
        <v>242</v>
      </c>
      <c r="C40" s="401"/>
      <c r="D40" s="386"/>
      <c r="E40" s="387"/>
    </row>
    <row r="41" spans="1:5">
      <c r="A41" s="859"/>
      <c r="B41" s="382" t="s">
        <v>319</v>
      </c>
      <c r="C41" s="459">
        <f>+'Band and Other Music'!E58</f>
        <v>1</v>
      </c>
      <c r="D41" s="375"/>
      <c r="E41" s="388"/>
    </row>
    <row r="42" spans="1:5" ht="16" thickBot="1">
      <c r="A42" s="859"/>
      <c r="B42" s="383" t="s">
        <v>291</v>
      </c>
      <c r="C42" s="461">
        <f>+'Band and Other Music'!E59</f>
        <v>25</v>
      </c>
      <c r="D42" s="384"/>
      <c r="E42" s="389"/>
    </row>
    <row r="43" spans="1:5">
      <c r="A43" s="375"/>
      <c r="C43" s="405"/>
    </row>
    <row r="44" spans="1:5">
      <c r="A44" s="375"/>
    </row>
    <row r="45" spans="1:5">
      <c r="A45" s="375"/>
    </row>
    <row r="46" spans="1:5">
      <c r="A46" s="375"/>
    </row>
    <row r="47" spans="1:5">
      <c r="A47" s="375"/>
    </row>
    <row r="48" spans="1:5">
      <c r="A48" s="375"/>
    </row>
    <row r="49" spans="1:1">
      <c r="A49" s="375"/>
    </row>
    <row r="50" spans="1:1">
      <c r="A50" s="375"/>
    </row>
    <row r="51" spans="1:1">
      <c r="A51" s="375"/>
    </row>
    <row r="52" spans="1:1">
      <c r="A52" s="375"/>
    </row>
    <row r="53" spans="1:1">
      <c r="A53" s="375"/>
    </row>
    <row r="54" spans="1:1">
      <c r="A54" s="375"/>
    </row>
    <row r="55" spans="1:1">
      <c r="A55" s="375"/>
    </row>
    <row r="56" spans="1:1">
      <c r="A56" s="375"/>
    </row>
    <row r="57" spans="1:1">
      <c r="A57" s="375"/>
    </row>
    <row r="58" spans="1:1">
      <c r="A58" s="375"/>
    </row>
    <row r="59" spans="1:1">
      <c r="A59" s="375"/>
    </row>
  </sheetData>
  <mergeCells count="18">
    <mergeCell ref="A41:A42"/>
    <mergeCell ref="D25:E28"/>
    <mergeCell ref="D31:E32"/>
    <mergeCell ref="D6:E6"/>
    <mergeCell ref="D5:E5"/>
    <mergeCell ref="A37:A38"/>
    <mergeCell ref="D21:E21"/>
    <mergeCell ref="D22:E22"/>
    <mergeCell ref="D20:E20"/>
    <mergeCell ref="A25:A28"/>
    <mergeCell ref="D19:E19"/>
    <mergeCell ref="A31:A32"/>
    <mergeCell ref="A35:A36"/>
    <mergeCell ref="B4:E4"/>
    <mergeCell ref="A1:E1"/>
    <mergeCell ref="A2:E2"/>
    <mergeCell ref="D7:E7"/>
    <mergeCell ref="D8:E8"/>
  </mergeCells>
  <printOptions horizontalCentered="1"/>
  <pageMargins left="0.2" right="0.2" top="0.25" bottom="0.25" header="0.3" footer="0.3"/>
  <pageSetup scale="83" orientation="portrait" horizontalDpi="4294967293" verticalDpi="0" r:id="rId1"/>
</worksheet>
</file>

<file path=xl/worksheets/sheet13.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0" customWidth="1"/>
    <col min="5" max="5" width="11.08984375" style="1" customWidth="1"/>
    <col min="6" max="9" width="14.6328125" style="1" customWidth="1"/>
    <col min="10" max="16384" width="9.08984375" style="1"/>
  </cols>
  <sheetData>
    <row r="1" spans="1:9" ht="41.25" customHeight="1">
      <c r="B1" s="412" t="s">
        <v>87</v>
      </c>
      <c r="C1" s="410"/>
      <c r="D1" s="410"/>
      <c r="E1" s="410"/>
    </row>
    <row r="2" spans="1:9" ht="23.25" customHeight="1">
      <c r="E2" s="411" t="s">
        <v>86</v>
      </c>
    </row>
    <row r="3" spans="1:9">
      <c r="E3" s="868" t="s">
        <v>199</v>
      </c>
      <c r="F3" s="870" t="s">
        <v>199</v>
      </c>
      <c r="G3" s="871"/>
      <c r="H3" s="871"/>
      <c r="I3" s="872"/>
    </row>
    <row r="4" spans="1:9" s="2" customFormat="1">
      <c r="A4" s="44"/>
      <c r="D4" s="15"/>
      <c r="E4" s="869"/>
      <c r="F4" s="406" t="s">
        <v>321</v>
      </c>
      <c r="G4" s="407" t="s">
        <v>322</v>
      </c>
      <c r="H4" s="407" t="s">
        <v>323</v>
      </c>
      <c r="I4" s="407" t="s">
        <v>324</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43" t="s">
        <v>84</v>
      </c>
      <c r="D11" s="255"/>
      <c r="E11" s="240">
        <v>2000</v>
      </c>
      <c r="G11" s="1">
        <v>2000</v>
      </c>
    </row>
    <row r="12" spans="1:9">
      <c r="A12" s="43">
        <v>31</v>
      </c>
      <c r="C12" s="248" t="s">
        <v>17</v>
      </c>
      <c r="D12" s="258"/>
      <c r="E12" s="245">
        <v>1000</v>
      </c>
      <c r="G12" s="1">
        <v>1000</v>
      </c>
    </row>
    <row r="13" spans="1:9">
      <c r="A13" s="43">
        <v>32</v>
      </c>
      <c r="C13" s="248" t="s">
        <v>194</v>
      </c>
      <c r="D13" s="258"/>
      <c r="E13" s="245">
        <v>1000</v>
      </c>
      <c r="G13" s="1">
        <v>1000</v>
      </c>
    </row>
    <row r="14" spans="1:9">
      <c r="A14" s="43">
        <v>33</v>
      </c>
      <c r="C14" s="248" t="s">
        <v>18</v>
      </c>
      <c r="D14" s="258"/>
      <c r="E14" s="245">
        <v>300</v>
      </c>
      <c r="G14" s="1">
        <v>300</v>
      </c>
    </row>
    <row r="15" spans="1:9" ht="14.5" customHeight="1">
      <c r="A15" s="43">
        <v>34</v>
      </c>
      <c r="C15" s="248" t="s">
        <v>19</v>
      </c>
      <c r="D15" s="258"/>
      <c r="E15" s="245">
        <v>200</v>
      </c>
      <c r="G15" s="1">
        <v>200</v>
      </c>
    </row>
    <row r="16" spans="1:9">
      <c r="C16" s="248" t="s">
        <v>108</v>
      </c>
      <c r="D16" s="258"/>
      <c r="E16" s="245">
        <v>750</v>
      </c>
      <c r="G16" s="1">
        <v>750</v>
      </c>
    </row>
    <row r="17" spans="1:7" ht="14.4" customHeight="1">
      <c r="A17" s="43">
        <v>35</v>
      </c>
      <c r="C17" s="253" t="s">
        <v>88</v>
      </c>
      <c r="D17" s="261"/>
      <c r="E17" s="250">
        <v>200</v>
      </c>
      <c r="G17" s="1">
        <v>200</v>
      </c>
    </row>
    <row r="18" spans="1:7" s="2" customFormat="1">
      <c r="A18" s="43">
        <v>36</v>
      </c>
      <c r="B18" s="37" t="s">
        <v>20</v>
      </c>
      <c r="C18" s="37"/>
      <c r="D18" s="37"/>
      <c r="E18" s="37">
        <v>5450</v>
      </c>
    </row>
    <row r="19" spans="1:7" ht="6" customHeight="1">
      <c r="A19" s="43">
        <v>37</v>
      </c>
    </row>
    <row r="20" spans="1:7">
      <c r="A20" s="43">
        <v>40</v>
      </c>
      <c r="B20" s="2" t="s">
        <v>152</v>
      </c>
    </row>
    <row r="21" spans="1:7">
      <c r="A21" s="43">
        <v>41</v>
      </c>
      <c r="C21" s="243" t="s">
        <v>21</v>
      </c>
      <c r="D21" s="255"/>
      <c r="E21" s="268">
        <v>4000</v>
      </c>
      <c r="F21" s="1">
        <v>4000</v>
      </c>
    </row>
    <row r="22" spans="1:7">
      <c r="C22" s="248" t="s">
        <v>157</v>
      </c>
      <c r="D22" s="258"/>
      <c r="E22" s="245">
        <v>0</v>
      </c>
      <c r="F22" s="1">
        <v>0</v>
      </c>
    </row>
    <row r="23" spans="1:7">
      <c r="A23" s="43">
        <v>43</v>
      </c>
      <c r="C23" s="248" t="s">
        <v>22</v>
      </c>
      <c r="D23" s="258"/>
      <c r="E23" s="245">
        <v>100</v>
      </c>
      <c r="F23" s="1">
        <v>100</v>
      </c>
    </row>
    <row r="24" spans="1:7">
      <c r="A24" s="43">
        <v>44</v>
      </c>
      <c r="C24" s="253" t="s">
        <v>23</v>
      </c>
      <c r="D24" s="261"/>
      <c r="E24" s="250">
        <v>200</v>
      </c>
      <c r="F24" s="1">
        <v>200</v>
      </c>
    </row>
    <row r="25" spans="1:7" s="2" customFormat="1">
      <c r="A25" s="43">
        <v>45</v>
      </c>
      <c r="B25" s="37" t="s">
        <v>153</v>
      </c>
      <c r="C25" s="37"/>
      <c r="D25" s="37"/>
      <c r="E25" s="37">
        <v>4300</v>
      </c>
    </row>
    <row r="26" spans="1:7" ht="6.75" customHeight="1">
      <c r="A26" s="43">
        <v>46</v>
      </c>
      <c r="D26" s="1"/>
    </row>
    <row r="27" spans="1:7" s="2" customFormat="1">
      <c r="A27" s="43">
        <v>51</v>
      </c>
      <c r="B27" s="37" t="s">
        <v>24</v>
      </c>
      <c r="C27" s="37"/>
      <c r="D27" s="37"/>
      <c r="E27" s="48">
        <v>12800</v>
      </c>
      <c r="G27" s="1">
        <v>12800</v>
      </c>
    </row>
    <row r="28" spans="1:7" ht="6.75" customHeight="1">
      <c r="A28" s="43">
        <v>52</v>
      </c>
    </row>
    <row r="29" spans="1:7">
      <c r="A29" s="43">
        <v>53</v>
      </c>
      <c r="B29" s="2" t="s">
        <v>94</v>
      </c>
    </row>
    <row r="30" spans="1:7">
      <c r="A30" s="43">
        <v>54</v>
      </c>
      <c r="C30" s="243" t="s">
        <v>96</v>
      </c>
      <c r="D30" s="255"/>
      <c r="E30" s="240">
        <v>400</v>
      </c>
      <c r="F30" s="1">
        <v>400</v>
      </c>
    </row>
    <row r="31" spans="1:7">
      <c r="A31" s="43">
        <v>55</v>
      </c>
      <c r="C31" s="253" t="s">
        <v>91</v>
      </c>
      <c r="D31" s="261"/>
      <c r="E31" s="250">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3">
        <v>200</v>
      </c>
      <c r="H34" s="1">
        <v>200</v>
      </c>
    </row>
    <row r="35" spans="1:8" ht="6" customHeight="1">
      <c r="A35" s="43">
        <v>59</v>
      </c>
    </row>
    <row r="36" spans="1:8">
      <c r="A36" s="43">
        <v>60</v>
      </c>
      <c r="B36" s="2" t="s">
        <v>26</v>
      </c>
    </row>
    <row r="37" spans="1:8">
      <c r="A37" s="43">
        <v>61</v>
      </c>
      <c r="C37" s="243" t="s">
        <v>27</v>
      </c>
      <c r="D37" s="255"/>
      <c r="E37" s="268">
        <v>200</v>
      </c>
      <c r="F37" s="1">
        <v>200</v>
      </c>
    </row>
    <row r="38" spans="1:8">
      <c r="A38" s="43">
        <v>62</v>
      </c>
      <c r="C38" s="248" t="s">
        <v>28</v>
      </c>
      <c r="D38" s="258"/>
      <c r="E38" s="266">
        <v>800</v>
      </c>
      <c r="F38" s="1">
        <v>800</v>
      </c>
    </row>
    <row r="39" spans="1:8">
      <c r="A39" s="43">
        <v>63</v>
      </c>
      <c r="C39" s="248" t="s">
        <v>29</v>
      </c>
      <c r="D39" s="258"/>
      <c r="E39" s="266">
        <v>1000</v>
      </c>
      <c r="H39" s="1">
        <v>1000</v>
      </c>
    </row>
    <row r="40" spans="1:8">
      <c r="A40" s="43">
        <v>64</v>
      </c>
      <c r="C40" s="248" t="s">
        <v>30</v>
      </c>
      <c r="D40" s="258"/>
      <c r="E40" s="266">
        <v>3000</v>
      </c>
      <c r="H40" s="1">
        <v>3000</v>
      </c>
    </row>
    <row r="41" spans="1:8">
      <c r="C41" s="248" t="s">
        <v>112</v>
      </c>
      <c r="D41" s="258"/>
      <c r="E41" s="266">
        <v>200</v>
      </c>
      <c r="F41" s="1">
        <v>200</v>
      </c>
    </row>
    <row r="42" spans="1:8">
      <c r="C42" s="248" t="s">
        <v>187</v>
      </c>
      <c r="D42" s="258"/>
      <c r="E42" s="266">
        <v>0</v>
      </c>
      <c r="F42" s="1">
        <v>0</v>
      </c>
    </row>
    <row r="43" spans="1:8">
      <c r="A43" s="43">
        <v>65</v>
      </c>
      <c r="C43" s="253" t="s">
        <v>117</v>
      </c>
      <c r="D43" s="261"/>
      <c r="E43" s="267">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43" t="s">
        <v>33</v>
      </c>
      <c r="D47" s="255"/>
      <c r="E47" s="268">
        <v>3500</v>
      </c>
      <c r="F47" s="1">
        <v>3500</v>
      </c>
    </row>
    <row r="48" spans="1:8">
      <c r="A48" s="43">
        <v>70</v>
      </c>
      <c r="C48" s="248" t="s">
        <v>34</v>
      </c>
      <c r="D48" s="258"/>
      <c r="E48" s="245">
        <v>3250</v>
      </c>
      <c r="F48" s="1">
        <v>3250</v>
      </c>
    </row>
    <row r="49" spans="1:6" ht="14.5" customHeight="1">
      <c r="A49" s="43">
        <v>73</v>
      </c>
      <c r="C49" s="248" t="s">
        <v>35</v>
      </c>
      <c r="D49" s="258"/>
      <c r="E49" s="266">
        <v>13000</v>
      </c>
      <c r="F49" s="1">
        <v>13000</v>
      </c>
    </row>
    <row r="50" spans="1:6">
      <c r="A50" s="43">
        <v>74</v>
      </c>
      <c r="C50" s="248" t="s">
        <v>36</v>
      </c>
      <c r="D50" s="258"/>
      <c r="E50" s="266">
        <v>1000</v>
      </c>
      <c r="F50" s="1">
        <v>1000</v>
      </c>
    </row>
    <row r="51" spans="1:6">
      <c r="A51" s="43">
        <v>75</v>
      </c>
      <c r="C51" s="253" t="s">
        <v>37</v>
      </c>
      <c r="D51" s="261"/>
      <c r="E51" s="267">
        <v>1700</v>
      </c>
      <c r="F51" s="1">
        <v>1700</v>
      </c>
    </row>
    <row r="52" spans="1:6" ht="14.5" customHeight="1">
      <c r="A52" s="43">
        <v>73</v>
      </c>
      <c r="C52" s="248" t="s">
        <v>320</v>
      </c>
      <c r="D52" s="258"/>
      <c r="E52" s="266">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154</v>
      </c>
      <c r="D57" s="50" t="s">
        <v>236</v>
      </c>
    </row>
    <row r="58" spans="1:6" ht="14.5" customHeight="1">
      <c r="A58" s="43">
        <v>81</v>
      </c>
      <c r="C58" s="243" t="s">
        <v>182</v>
      </c>
      <c r="D58" s="255"/>
      <c r="E58" s="274">
        <v>72737</v>
      </c>
    </row>
    <row r="59" spans="1:6">
      <c r="A59" s="43">
        <v>82</v>
      </c>
      <c r="C59" s="248" t="s">
        <v>40</v>
      </c>
      <c r="D59" s="258"/>
      <c r="E59" s="282">
        <v>1500</v>
      </c>
    </row>
    <row r="60" spans="1:6" ht="14.5" customHeight="1">
      <c r="C60" s="248" t="s">
        <v>105</v>
      </c>
      <c r="D60" s="258"/>
      <c r="E60" s="282">
        <v>5564.3805000000002</v>
      </c>
    </row>
    <row r="61" spans="1:6" ht="14" customHeight="1">
      <c r="C61" s="248" t="s">
        <v>173</v>
      </c>
      <c r="D61" s="258"/>
      <c r="E61" s="282">
        <v>16110</v>
      </c>
    </row>
    <row r="62" spans="1:6" ht="14.4" customHeight="1">
      <c r="A62" s="43">
        <v>83</v>
      </c>
      <c r="C62" s="248" t="s">
        <v>174</v>
      </c>
      <c r="D62" s="258"/>
      <c r="E62" s="282">
        <v>2662</v>
      </c>
    </row>
    <row r="63" spans="1:6">
      <c r="C63" s="248" t="s">
        <v>107</v>
      </c>
      <c r="D63" s="258"/>
      <c r="E63" s="282">
        <v>600</v>
      </c>
    </row>
    <row r="64" spans="1:6">
      <c r="C64" s="248" t="s">
        <v>226</v>
      </c>
      <c r="D64" s="258"/>
      <c r="E64" s="282">
        <v>480</v>
      </c>
    </row>
    <row r="65" spans="1:8">
      <c r="A65" s="43">
        <v>85</v>
      </c>
      <c r="C65" s="253" t="s">
        <v>41</v>
      </c>
      <c r="D65" s="261"/>
      <c r="E65" s="296">
        <v>1000</v>
      </c>
      <c r="F65" s="408">
        <v>0.4</v>
      </c>
      <c r="G65" s="408">
        <v>0.2</v>
      </c>
      <c r="H65" s="408">
        <v>0.4</v>
      </c>
    </row>
    <row r="66" spans="1:8" s="2" customFormat="1">
      <c r="A66" s="43">
        <v>86</v>
      </c>
      <c r="B66" s="24" t="s">
        <v>155</v>
      </c>
      <c r="C66" s="24"/>
      <c r="D66" s="24"/>
      <c r="E66" s="24">
        <v>100653.3805</v>
      </c>
      <c r="F66" s="2">
        <v>40261.352200000001</v>
      </c>
      <c r="G66" s="2">
        <v>20130.676100000001</v>
      </c>
      <c r="H66" s="2">
        <v>40261.352200000001</v>
      </c>
    </row>
    <row r="67" spans="1:8" ht="6.75" customHeight="1">
      <c r="A67" s="43">
        <v>87</v>
      </c>
    </row>
    <row r="68" spans="1:8">
      <c r="A68" s="43">
        <v>88</v>
      </c>
      <c r="B68" s="2" t="s">
        <v>192</v>
      </c>
      <c r="E68" s="39"/>
    </row>
    <row r="69" spans="1:8">
      <c r="A69" s="43">
        <v>89</v>
      </c>
      <c r="C69" s="243" t="s">
        <v>42</v>
      </c>
      <c r="D69" s="255"/>
      <c r="E69" s="268">
        <v>45000</v>
      </c>
    </row>
    <row r="70" spans="1:8">
      <c r="C70" s="248" t="s">
        <v>41</v>
      </c>
      <c r="D70" s="258"/>
      <c r="E70" s="266">
        <v>750</v>
      </c>
    </row>
    <row r="71" spans="1:8">
      <c r="C71" s="248" t="s">
        <v>43</v>
      </c>
      <c r="D71" s="258"/>
      <c r="E71" s="266">
        <v>1500</v>
      </c>
    </row>
    <row r="72" spans="1:8">
      <c r="C72" s="248" t="s">
        <v>226</v>
      </c>
      <c r="D72" s="258"/>
      <c r="E72" s="266">
        <v>480</v>
      </c>
    </row>
    <row r="73" spans="1:8">
      <c r="C73" s="248" t="s">
        <v>107</v>
      </c>
      <c r="D73" s="258"/>
      <c r="E73" s="266">
        <v>350</v>
      </c>
    </row>
    <row r="74" spans="1:8">
      <c r="A74" s="43">
        <v>90</v>
      </c>
      <c r="C74" s="253" t="s">
        <v>233</v>
      </c>
      <c r="D74" s="261"/>
      <c r="E74" s="267">
        <v>2000</v>
      </c>
      <c r="F74" s="408">
        <v>0.4</v>
      </c>
      <c r="G74" s="408">
        <v>0.4</v>
      </c>
      <c r="H74" s="408">
        <v>0.2</v>
      </c>
    </row>
    <row r="75" spans="1:8" s="2" customFormat="1">
      <c r="A75" s="43">
        <v>91</v>
      </c>
      <c r="B75" s="24" t="s">
        <v>193</v>
      </c>
      <c r="C75" s="24"/>
      <c r="D75" s="24"/>
      <c r="E75" s="24">
        <v>50080</v>
      </c>
      <c r="F75" s="2">
        <v>20032</v>
      </c>
      <c r="G75" s="2">
        <v>20032</v>
      </c>
      <c r="H75" s="2">
        <v>10016</v>
      </c>
    </row>
    <row r="76" spans="1:8" ht="4.5" customHeight="1">
      <c r="A76" s="43">
        <v>92</v>
      </c>
    </row>
    <row r="77" spans="1:8" ht="4.5" customHeight="1"/>
    <row r="78" spans="1:8">
      <c r="A78" s="43">
        <v>93</v>
      </c>
      <c r="B78" s="2" t="s">
        <v>165</v>
      </c>
    </row>
    <row r="79" spans="1:8">
      <c r="A79" s="43">
        <v>94</v>
      </c>
      <c r="C79" s="243" t="s">
        <v>42</v>
      </c>
      <c r="D79" s="255"/>
      <c r="E79" s="274">
        <v>20808</v>
      </c>
      <c r="G79" s="1">
        <v>20808</v>
      </c>
    </row>
    <row r="80" spans="1:8">
      <c r="A80" s="43">
        <v>95</v>
      </c>
      <c r="C80" s="253" t="s">
        <v>44</v>
      </c>
      <c r="D80" s="261"/>
      <c r="E80" s="296">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43" t="s">
        <v>109</v>
      </c>
      <c r="D85" s="255"/>
      <c r="E85" s="274">
        <v>15918</v>
      </c>
      <c r="F85" s="1">
        <v>15918</v>
      </c>
    </row>
    <row r="86" spans="1:7">
      <c r="C86" s="243" t="s">
        <v>240</v>
      </c>
      <c r="D86" s="255"/>
      <c r="E86" s="274">
        <v>3000</v>
      </c>
      <c r="F86" s="1">
        <v>3000</v>
      </c>
    </row>
    <row r="87" spans="1:7">
      <c r="A87" s="43">
        <v>109</v>
      </c>
      <c r="C87" s="248" t="s">
        <v>47</v>
      </c>
      <c r="D87" s="258"/>
      <c r="E87" s="245">
        <v>500</v>
      </c>
      <c r="F87" s="1">
        <v>500</v>
      </c>
    </row>
    <row r="88" spans="1:7">
      <c r="A88" s="43">
        <v>110</v>
      </c>
      <c r="C88" s="248" t="s">
        <v>48</v>
      </c>
      <c r="D88" s="258"/>
      <c r="E88" s="282">
        <v>13290</v>
      </c>
      <c r="F88" s="1">
        <v>13290</v>
      </c>
    </row>
    <row r="89" spans="1:7">
      <c r="A89" s="43">
        <v>110</v>
      </c>
      <c r="C89" s="772" t="s">
        <v>307</v>
      </c>
      <c r="D89" s="772"/>
      <c r="E89" s="282">
        <v>3000</v>
      </c>
      <c r="F89" s="1">
        <v>3000</v>
      </c>
    </row>
    <row r="90" spans="1:7">
      <c r="C90" s="248" t="s">
        <v>302</v>
      </c>
      <c r="D90" s="258"/>
      <c r="E90" s="282">
        <v>3350</v>
      </c>
      <c r="F90" s="1">
        <v>3350</v>
      </c>
    </row>
    <row r="91" spans="1:7">
      <c r="A91" s="43">
        <v>111</v>
      </c>
      <c r="C91" s="248" t="s">
        <v>49</v>
      </c>
      <c r="D91" s="258"/>
      <c r="E91" s="282">
        <v>7484</v>
      </c>
      <c r="F91" s="1">
        <v>7484</v>
      </c>
    </row>
    <row r="92" spans="1:7">
      <c r="A92" s="43">
        <v>112</v>
      </c>
      <c r="C92" s="248" t="s">
        <v>50</v>
      </c>
      <c r="D92" s="258"/>
      <c r="E92" s="282">
        <v>1785</v>
      </c>
      <c r="G92" s="1">
        <v>1785</v>
      </c>
    </row>
    <row r="93" spans="1:7">
      <c r="C93" s="248" t="s">
        <v>106</v>
      </c>
      <c r="D93" s="258"/>
      <c r="E93" s="266">
        <v>0</v>
      </c>
      <c r="G93" s="1">
        <v>0</v>
      </c>
    </row>
    <row r="94" spans="1:7">
      <c r="A94" s="43">
        <v>113</v>
      </c>
      <c r="C94" s="253" t="s">
        <v>110</v>
      </c>
      <c r="D94" s="261"/>
      <c r="E94" s="296">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08">
        <v>0.33300000000000002</v>
      </c>
      <c r="G97" s="408">
        <v>0.33300000000000002</v>
      </c>
      <c r="H97" s="408">
        <v>0.33400000000000002</v>
      </c>
    </row>
    <row r="98" spans="1:9">
      <c r="C98" s="248" t="s">
        <v>188</v>
      </c>
      <c r="D98" s="258"/>
      <c r="E98" s="274">
        <v>35360</v>
      </c>
      <c r="F98" s="1">
        <v>11774.880000000001</v>
      </c>
      <c r="G98" s="1">
        <v>11774.880000000001</v>
      </c>
      <c r="H98" s="1">
        <v>11810.24</v>
      </c>
    </row>
    <row r="99" spans="1:9">
      <c r="A99" s="43">
        <v>122</v>
      </c>
      <c r="C99" s="248" t="s">
        <v>190</v>
      </c>
      <c r="D99" s="258"/>
      <c r="E99" s="266">
        <v>1000</v>
      </c>
      <c r="F99" s="1">
        <v>333</v>
      </c>
      <c r="G99" s="1">
        <v>333</v>
      </c>
      <c r="H99" s="1">
        <v>334</v>
      </c>
    </row>
    <row r="100" spans="1:9">
      <c r="A100" s="43">
        <v>118</v>
      </c>
      <c r="C100" s="248" t="s">
        <v>54</v>
      </c>
      <c r="D100" s="258"/>
      <c r="E100" s="282">
        <v>33465</v>
      </c>
      <c r="I100" s="1">
        <v>33465</v>
      </c>
    </row>
    <row r="101" spans="1:9">
      <c r="A101" s="43">
        <v>119</v>
      </c>
      <c r="C101" s="248" t="s">
        <v>55</v>
      </c>
      <c r="D101" s="258"/>
      <c r="E101" s="266">
        <v>400</v>
      </c>
      <c r="F101" s="1">
        <v>133.20000000000002</v>
      </c>
      <c r="G101" s="1">
        <v>133.20000000000002</v>
      </c>
      <c r="H101" s="1">
        <v>133.6</v>
      </c>
    </row>
    <row r="102" spans="1:9">
      <c r="A102" s="43">
        <v>120</v>
      </c>
      <c r="C102" s="248" t="s">
        <v>99</v>
      </c>
      <c r="D102" s="258"/>
      <c r="E102" s="266">
        <v>700</v>
      </c>
      <c r="F102" s="1">
        <v>233.10000000000002</v>
      </c>
      <c r="G102" s="1">
        <v>233.10000000000002</v>
      </c>
      <c r="H102" s="1">
        <v>233.8</v>
      </c>
    </row>
    <row r="103" spans="1:9" ht="14" customHeight="1">
      <c r="C103" s="248" t="s">
        <v>116</v>
      </c>
      <c r="D103" s="258"/>
      <c r="E103" s="282">
        <v>925</v>
      </c>
      <c r="F103" s="1">
        <v>925</v>
      </c>
    </row>
    <row r="104" spans="1:9">
      <c r="C104" s="772" t="s">
        <v>189</v>
      </c>
      <c r="D104" s="772"/>
      <c r="E104" s="319">
        <v>11138</v>
      </c>
      <c r="F104" s="1">
        <v>3708.9540000000002</v>
      </c>
      <c r="G104" s="1">
        <v>3708.9540000000002</v>
      </c>
      <c r="H104" s="1">
        <v>3720.0920000000001</v>
      </c>
    </row>
    <row r="105" spans="1:9" ht="14.5" customHeight="1">
      <c r="A105" s="43">
        <v>123</v>
      </c>
      <c r="C105" s="248" t="s">
        <v>56</v>
      </c>
      <c r="D105" s="258"/>
      <c r="E105" s="282">
        <v>14502</v>
      </c>
      <c r="F105" s="1">
        <v>4829.1660000000002</v>
      </c>
      <c r="G105" s="1">
        <v>4829.1660000000002</v>
      </c>
      <c r="H105" s="1">
        <v>4843.6680000000006</v>
      </c>
    </row>
    <row r="106" spans="1:9" ht="14.4" customHeight="1">
      <c r="A106" s="43">
        <v>124</v>
      </c>
      <c r="C106" s="248" t="s">
        <v>57</v>
      </c>
      <c r="D106" s="258"/>
      <c r="E106" s="266">
        <v>3384</v>
      </c>
      <c r="F106" s="1">
        <v>1126.8720000000001</v>
      </c>
      <c r="G106" s="1">
        <v>1126.8720000000001</v>
      </c>
      <c r="H106" s="1">
        <v>1130.2560000000001</v>
      </c>
    </row>
    <row r="107" spans="1:9">
      <c r="A107" s="43">
        <v>125</v>
      </c>
      <c r="C107" s="248" t="s">
        <v>58</v>
      </c>
      <c r="D107" s="258"/>
      <c r="E107" s="54">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48" t="s">
        <v>63</v>
      </c>
      <c r="D113" s="258"/>
      <c r="E113" s="268">
        <v>10500</v>
      </c>
      <c r="I113" s="1">
        <v>10500</v>
      </c>
    </row>
    <row r="114" spans="1:9" ht="14.4" customHeight="1">
      <c r="A114" s="43">
        <v>133</v>
      </c>
      <c r="C114" s="248" t="s">
        <v>64</v>
      </c>
      <c r="D114" s="258"/>
      <c r="E114" s="266">
        <v>8160</v>
      </c>
      <c r="I114" s="1">
        <v>8160</v>
      </c>
    </row>
    <row r="115" spans="1:9">
      <c r="A115" s="43">
        <v>134</v>
      </c>
      <c r="C115" s="248" t="s">
        <v>65</v>
      </c>
      <c r="D115" s="258"/>
      <c r="E115" s="245">
        <v>4500</v>
      </c>
      <c r="I115" s="1">
        <v>4500</v>
      </c>
    </row>
    <row r="116" spans="1:9" ht="14.4" customHeight="1">
      <c r="A116" s="43">
        <v>135</v>
      </c>
      <c r="C116" s="248" t="s">
        <v>66</v>
      </c>
      <c r="D116" s="258"/>
      <c r="E116" s="245">
        <v>816</v>
      </c>
      <c r="I116" s="1">
        <v>816</v>
      </c>
    </row>
    <row r="117" spans="1:9" ht="14.4" customHeight="1">
      <c r="A117" s="43">
        <v>136</v>
      </c>
      <c r="C117" s="248" t="s">
        <v>67</v>
      </c>
      <c r="D117" s="258"/>
      <c r="E117" s="266">
        <v>300</v>
      </c>
      <c r="I117" s="1">
        <v>300</v>
      </c>
    </row>
    <row r="118" spans="1:9" ht="14.4" customHeight="1">
      <c r="A118" s="43">
        <v>137</v>
      </c>
      <c r="C118" s="248" t="s">
        <v>68</v>
      </c>
      <c r="D118" s="258"/>
      <c r="E118" s="266">
        <v>600</v>
      </c>
      <c r="I118" s="1">
        <v>600</v>
      </c>
    </row>
    <row r="119" spans="1:9" ht="14.4" customHeight="1">
      <c r="A119" s="43">
        <v>138</v>
      </c>
      <c r="C119" s="248" t="s">
        <v>104</v>
      </c>
      <c r="D119" s="258"/>
      <c r="E119" s="250">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43" t="s">
        <v>71</v>
      </c>
      <c r="D123" s="255"/>
      <c r="E123" s="268">
        <v>16899.940000000002</v>
      </c>
      <c r="I123" s="1">
        <v>16899.940000000002</v>
      </c>
    </row>
    <row r="124" spans="1:9">
      <c r="A124" s="43">
        <v>143</v>
      </c>
      <c r="C124" s="248" t="s">
        <v>72</v>
      </c>
      <c r="D124" s="258"/>
      <c r="E124" s="245">
        <v>4500</v>
      </c>
      <c r="I124" s="1">
        <v>4500</v>
      </c>
    </row>
    <row r="125" spans="1:9">
      <c r="A125" s="43">
        <v>144</v>
      </c>
      <c r="C125" s="248" t="s">
        <v>97</v>
      </c>
      <c r="D125" s="258"/>
      <c r="E125" s="245">
        <v>4000</v>
      </c>
      <c r="I125" s="1">
        <v>4000</v>
      </c>
    </row>
    <row r="126" spans="1:9">
      <c r="A126" s="43">
        <v>145</v>
      </c>
      <c r="C126" s="772" t="s">
        <v>100</v>
      </c>
      <c r="D126" s="772"/>
      <c r="E126" s="266">
        <v>8000</v>
      </c>
      <c r="I126" s="1">
        <v>8000</v>
      </c>
    </row>
    <row r="127" spans="1:9">
      <c r="A127" s="43">
        <v>146</v>
      </c>
      <c r="C127" s="253" t="s">
        <v>73</v>
      </c>
      <c r="D127" s="261"/>
      <c r="E127" s="250">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48" t="s">
        <v>151</v>
      </c>
      <c r="D133" s="258"/>
      <c r="E133" s="266">
        <v>12000</v>
      </c>
    </row>
    <row r="134" spans="1:9">
      <c r="A134" s="43">
        <v>157</v>
      </c>
      <c r="C134" s="248" t="s">
        <v>156</v>
      </c>
      <c r="D134" s="258"/>
      <c r="E134" s="266">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5" t="s">
        <v>166</v>
      </c>
      <c r="C140" s="106"/>
      <c r="D140" s="106"/>
      <c r="E140" s="108">
        <v>513300</v>
      </c>
    </row>
    <row r="141" spans="1:9">
      <c r="B141" s="112" t="s">
        <v>158</v>
      </c>
      <c r="C141" s="100"/>
      <c r="D141" s="100"/>
      <c r="E141" s="102">
        <v>500932.32049999997</v>
      </c>
      <c r="F141" s="413">
        <v>164734.65720000005</v>
      </c>
      <c r="G141" s="413">
        <v>103945.78110000001</v>
      </c>
      <c r="H141" s="413">
        <v>128013.94220000002</v>
      </c>
      <c r="I141" s="413">
        <v>104240.94</v>
      </c>
    </row>
    <row r="142" spans="1:9" ht="15" thickBot="1">
      <c r="B142" s="114" t="s">
        <v>167</v>
      </c>
      <c r="C142" s="115"/>
      <c r="D142" s="115"/>
      <c r="E142" s="118">
        <v>12367.679500000027</v>
      </c>
    </row>
    <row r="146" spans="1:4">
      <c r="D146" s="75"/>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2.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1" customWidth="1"/>
    <col min="2" max="16384" width="9.08984375" style="41"/>
  </cols>
  <sheetData>
    <row r="2" spans="1:3">
      <c r="A2" s="41" t="s">
        <v>163</v>
      </c>
      <c r="C2" s="42">
        <v>2021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K14"/>
  <sheetViews>
    <sheetView showGridLines="0" workbookViewId="0">
      <selection activeCell="J11" sqref="J11"/>
    </sheetView>
  </sheetViews>
  <sheetFormatPr defaultRowHeight="21"/>
  <cols>
    <col min="1" max="1" width="4.36328125" style="703" customWidth="1"/>
    <col min="2" max="2" width="39.6328125" style="703" customWidth="1"/>
    <col min="3" max="3" width="15" style="703" hidden="1" customWidth="1"/>
    <col min="4" max="4" width="1.453125" style="730" customWidth="1"/>
    <col min="5" max="6" width="16" style="703" customWidth="1"/>
    <col min="7" max="7" width="1.453125" style="703" customWidth="1"/>
    <col min="8" max="8" width="16.08984375" style="703" customWidth="1"/>
    <col min="9" max="9" width="1.453125" style="703" customWidth="1"/>
    <col min="10" max="10" width="16.08984375" style="703" customWidth="1"/>
    <col min="11" max="16384" width="8.7265625" style="703"/>
  </cols>
  <sheetData>
    <row r="1" spans="1:11" ht="26">
      <c r="B1" s="752" t="s">
        <v>87</v>
      </c>
      <c r="C1" s="752"/>
      <c r="D1" s="752"/>
      <c r="E1" s="752"/>
      <c r="F1" s="752"/>
      <c r="G1" s="752"/>
      <c r="H1" s="752"/>
      <c r="I1" s="752"/>
      <c r="J1" s="752"/>
    </row>
    <row r="2" spans="1:11">
      <c r="D2" s="732"/>
    </row>
    <row r="3" spans="1:11">
      <c r="D3" s="734"/>
      <c r="E3" s="750">
        <v>2020</v>
      </c>
      <c r="F3" s="751"/>
      <c r="G3" s="741"/>
      <c r="H3" s="721">
        <v>2021</v>
      </c>
      <c r="I3" s="745"/>
      <c r="J3" s="735"/>
    </row>
    <row r="4" spans="1:11" ht="53" customHeight="1">
      <c r="B4" s="715"/>
      <c r="C4" s="710" t="s">
        <v>548</v>
      </c>
      <c r="D4" s="737"/>
      <c r="E4" s="710" t="s">
        <v>531</v>
      </c>
      <c r="F4" s="710" t="s">
        <v>545</v>
      </c>
      <c r="G4" s="742"/>
      <c r="H4" s="710" t="s">
        <v>546</v>
      </c>
      <c r="I4" s="746"/>
      <c r="J4" s="710" t="s">
        <v>547</v>
      </c>
      <c r="K4" s="715"/>
    </row>
    <row r="5" spans="1:11">
      <c r="B5" s="715" t="s">
        <v>540</v>
      </c>
      <c r="C5" s="731"/>
      <c r="D5" s="727"/>
      <c r="E5" s="708">
        <v>56200</v>
      </c>
      <c r="F5" s="708">
        <f>+'Summary New Year'!J117</f>
        <v>75859.97000000003</v>
      </c>
      <c r="G5" s="713"/>
      <c r="H5" s="708">
        <f>'New Year-Full Year'!P223</f>
        <v>22000</v>
      </c>
      <c r="I5" s="724"/>
      <c r="J5" s="726"/>
      <c r="K5" s="715"/>
    </row>
    <row r="6" spans="1:11">
      <c r="B6" s="715" t="s">
        <v>539</v>
      </c>
      <c r="C6" s="732"/>
      <c r="D6" s="727"/>
      <c r="E6" s="706">
        <v>5000</v>
      </c>
      <c r="F6" s="706"/>
      <c r="G6" s="713"/>
      <c r="H6" s="725"/>
      <c r="I6" s="724"/>
      <c r="J6" s="727"/>
      <c r="K6" s="715"/>
    </row>
    <row r="7" spans="1:11">
      <c r="B7" s="736" t="s">
        <v>542</v>
      </c>
      <c r="C7" s="733"/>
      <c r="D7" s="728"/>
      <c r="E7" s="711">
        <f>+E5-E6</f>
        <v>51200</v>
      </c>
      <c r="F7" s="711">
        <f>+F5-F6</f>
        <v>75859.97000000003</v>
      </c>
      <c r="G7" s="723"/>
      <c r="H7" s="711">
        <f>+H5-H6</f>
        <v>22000</v>
      </c>
      <c r="I7" s="728"/>
      <c r="J7" s="728"/>
      <c r="K7" s="715"/>
    </row>
    <row r="8" spans="1:11">
      <c r="B8" s="715"/>
      <c r="D8" s="732"/>
      <c r="G8" s="715"/>
      <c r="I8" s="715"/>
      <c r="K8" s="715"/>
    </row>
    <row r="9" spans="1:11">
      <c r="B9" s="736" t="s">
        <v>532</v>
      </c>
      <c r="D9" s="732"/>
      <c r="G9" s="715"/>
      <c r="I9" s="715"/>
      <c r="K9" s="715"/>
    </row>
    <row r="10" spans="1:11">
      <c r="A10" s="704" t="s">
        <v>533</v>
      </c>
      <c r="B10" s="715" t="s">
        <v>544</v>
      </c>
      <c r="C10" s="708">
        <v>13765.63</v>
      </c>
      <c r="D10" s="738"/>
      <c r="E10" s="707"/>
      <c r="F10" s="712">
        <v>20000</v>
      </c>
      <c r="G10" s="722"/>
      <c r="H10" s="708"/>
      <c r="I10" s="727"/>
      <c r="J10" s="748">
        <f>SUM(C10:H10)</f>
        <v>33765.629999999997</v>
      </c>
      <c r="K10" s="715"/>
    </row>
    <row r="11" spans="1:11">
      <c r="A11" s="704" t="s">
        <v>534</v>
      </c>
      <c r="B11" s="715" t="s">
        <v>537</v>
      </c>
      <c r="C11" s="725">
        <v>29502.66</v>
      </c>
      <c r="D11" s="738"/>
      <c r="E11" s="718">
        <f>+$E$7/2</f>
        <v>25600</v>
      </c>
      <c r="F11" s="714">
        <v>10000</v>
      </c>
      <c r="G11" s="722"/>
      <c r="H11" s="725">
        <f>+H7</f>
        <v>22000</v>
      </c>
      <c r="I11" s="727"/>
      <c r="J11" s="718">
        <f t="shared" ref="J11:J13" si="0">SUM(C11:H11)</f>
        <v>87102.66</v>
      </c>
      <c r="K11" s="715"/>
    </row>
    <row r="12" spans="1:11">
      <c r="A12" s="704" t="s">
        <v>535</v>
      </c>
      <c r="B12" s="715" t="s">
        <v>543</v>
      </c>
      <c r="C12" s="725">
        <v>168816.55</v>
      </c>
      <c r="D12" s="739"/>
      <c r="E12" s="719"/>
      <c r="F12" s="716">
        <f>+F7-F10-F11</f>
        <v>45859.97000000003</v>
      </c>
      <c r="G12" s="743"/>
      <c r="H12" s="729"/>
      <c r="I12" s="747"/>
      <c r="J12" s="729">
        <f t="shared" si="0"/>
        <v>214676.52000000002</v>
      </c>
      <c r="K12" s="715"/>
    </row>
    <row r="13" spans="1:11">
      <c r="A13" s="704" t="s">
        <v>536</v>
      </c>
      <c r="B13" s="715" t="s">
        <v>538</v>
      </c>
      <c r="C13" s="706">
        <v>29502.66</v>
      </c>
      <c r="D13" s="709"/>
      <c r="E13" s="720">
        <f>+$E$7/2</f>
        <v>25600</v>
      </c>
      <c r="F13" s="717"/>
      <c r="G13" s="744"/>
      <c r="H13" s="705"/>
      <c r="I13" s="732"/>
      <c r="J13" s="720">
        <f t="shared" si="0"/>
        <v>55102.66</v>
      </c>
      <c r="K13" s="715"/>
    </row>
    <row r="14" spans="1:11">
      <c r="B14" s="736" t="s">
        <v>541</v>
      </c>
      <c r="C14" s="711">
        <f>SUM(C10:C13)</f>
        <v>241587.5</v>
      </c>
      <c r="D14" s="740"/>
      <c r="E14" s="711">
        <f>SUM(E10:E13)</f>
        <v>51200</v>
      </c>
      <c r="F14" s="711">
        <f>SUM(F10:F13)</f>
        <v>75859.97000000003</v>
      </c>
      <c r="G14" s="723"/>
      <c r="H14" s="711">
        <f>SUM(H10:H13)</f>
        <v>22000</v>
      </c>
      <c r="I14" s="728"/>
      <c r="J14" s="711">
        <f>SUM(J10:J13)</f>
        <v>390647.47000000009</v>
      </c>
      <c r="K14" s="715"/>
    </row>
  </sheetData>
  <mergeCells count="2">
    <mergeCell ref="E3:F3"/>
    <mergeCell ref="B1:J1"/>
  </mergeCells>
  <pageMargins left="0.7" right="0.7" top="0.75" bottom="0.75" header="0.3" footer="0.3"/>
  <pageSetup orientation="landscape" horizontalDpi="0" verticalDpi="0" r:id="rId1"/>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M118"/>
  <sheetViews>
    <sheetView showGridLines="0" topLeftCell="B95" workbookViewId="0">
      <selection activeCell="E117" sqref="E117"/>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754" t="s">
        <v>87</v>
      </c>
      <c r="C1" s="754"/>
      <c r="D1" s="754"/>
      <c r="E1" s="754"/>
      <c r="F1" s="754"/>
      <c r="G1" s="754"/>
      <c r="H1" s="754"/>
      <c r="I1" s="754"/>
      <c r="J1" s="754"/>
      <c r="K1" s="754"/>
      <c r="L1" s="754"/>
    </row>
    <row r="2" spans="1:12" ht="8.25" customHeight="1">
      <c r="B2" s="755"/>
      <c r="C2" s="755"/>
      <c r="D2" s="755"/>
      <c r="E2" s="755"/>
      <c r="F2" s="755"/>
      <c r="G2" s="755"/>
      <c r="H2" s="755"/>
      <c r="I2" s="755"/>
      <c r="J2" s="755"/>
      <c r="K2" s="755"/>
      <c r="L2" s="755"/>
    </row>
    <row r="3" spans="1:12" ht="18" customHeight="1">
      <c r="E3" s="759" t="s">
        <v>86</v>
      </c>
      <c r="F3" s="760"/>
      <c r="G3" s="760"/>
      <c r="H3" s="761"/>
      <c r="J3" s="756" t="str">
        <f>+'New Year-Full Year'!U2</f>
        <v>2020 Year to Date (YTD)</v>
      </c>
      <c r="K3" s="757"/>
      <c r="L3" s="758"/>
    </row>
    <row r="4" spans="1:12" ht="22.5" customHeight="1">
      <c r="E4" s="767" t="str">
        <f>+'New Year-Full Year'!P3</f>
        <v>2021 Budget</v>
      </c>
      <c r="F4" s="765" t="str">
        <f>+'New Year-Full Year'!Q3</f>
        <v>2020 Budget</v>
      </c>
      <c r="G4" s="763" t="str">
        <f>Bud_Yr&amp;" Budget vs "&amp;Bud_Yr-1&amp;" Budget"</f>
        <v>2021 Budget vs 2020 Budget</v>
      </c>
      <c r="H4" s="764"/>
      <c r="J4" s="767" t="str">
        <f>+'New Year-Full Year'!U3</f>
        <v>Nov 2020 YTD Actual</v>
      </c>
      <c r="K4" s="765" t="str">
        <f>+'New Year-Full Year'!V3</f>
        <v>Nov 2020 YTD Budget</v>
      </c>
      <c r="L4" s="769" t="s">
        <v>85</v>
      </c>
    </row>
    <row r="5" spans="1:12" s="2" customFormat="1">
      <c r="A5" s="44"/>
      <c r="E5" s="768"/>
      <c r="F5" s="766"/>
      <c r="G5" s="586" t="s">
        <v>113</v>
      </c>
      <c r="H5" s="51" t="s">
        <v>114</v>
      </c>
      <c r="J5" s="768"/>
      <c r="K5" s="766"/>
      <c r="L5" s="770"/>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477000</v>
      </c>
      <c r="G8" s="38">
        <f>+E8-F8</f>
        <v>0</v>
      </c>
      <c r="H8" s="4">
        <f t="shared" ref="H8:H14" si="0">IF(F8=0,"NA",(+E8-F8)/F8)</f>
        <v>0</v>
      </c>
      <c r="J8" s="38">
        <f>+'New Year-Full Year'!U7</f>
        <v>432376.74</v>
      </c>
      <c r="K8" s="38">
        <f>+'New Year-Full Year'!V7</f>
        <v>435193.14</v>
      </c>
      <c r="L8" s="4">
        <f t="shared" ref="L8:L14" si="1">IF(K8=0,"NA",(+J8-K8)/K8)</f>
        <v>-6.4716093640630988E-3</v>
      </c>
    </row>
    <row r="9" spans="1:12">
      <c r="C9" s="1" t="str">
        <f>+'New Year-Full Year'!C10</f>
        <v>Advent Offerings</v>
      </c>
      <c r="E9" s="38">
        <f>+'New Year-Full Year'!P10</f>
        <v>0</v>
      </c>
      <c r="F9" s="38">
        <f>+'New Year-Full Year'!Q10</f>
        <v>0</v>
      </c>
      <c r="G9" s="38">
        <f t="shared" ref="G9:G13" si="2">+E9-F9</f>
        <v>0</v>
      </c>
      <c r="H9" s="4" t="str">
        <f>IF(F9=0,"NA",(+E9-F9)/F9)</f>
        <v>NA</v>
      </c>
      <c r="J9" s="38">
        <f>+'New Year-Full Year'!U10</f>
        <v>0</v>
      </c>
      <c r="K9" s="38">
        <f>+'New Year-Full Year'!V10</f>
        <v>0</v>
      </c>
      <c r="L9" s="4" t="str">
        <f>IF(K9=0,"NA",(+J9-K9)/K9)</f>
        <v>NA</v>
      </c>
    </row>
    <row r="10" spans="1:12">
      <c r="A10" s="43">
        <v>4</v>
      </c>
      <c r="C10" s="1" t="str">
        <f>+'New Year-Full Year'!C11</f>
        <v>Easter Offerings</v>
      </c>
      <c r="E10" s="38">
        <f>+'New Year-Full Year'!P11</f>
        <v>3500</v>
      </c>
      <c r="F10" s="38">
        <f>+'New Year-Full Year'!Q11</f>
        <v>3500</v>
      </c>
      <c r="G10" s="38">
        <f t="shared" si="2"/>
        <v>0</v>
      </c>
      <c r="H10" s="4">
        <f t="shared" si="0"/>
        <v>0</v>
      </c>
      <c r="J10" s="38">
        <f>+'New Year-Full Year'!U11</f>
        <v>2619.6999999999998</v>
      </c>
      <c r="K10" s="38">
        <f>+'New Year-Full Year'!V11</f>
        <v>3500</v>
      </c>
      <c r="L10" s="4">
        <f t="shared" si="1"/>
        <v>-0.25151428571428575</v>
      </c>
    </row>
    <row r="11" spans="1:12">
      <c r="A11" s="43">
        <v>5</v>
      </c>
      <c r="C11" s="1" t="str">
        <f>+'New Year-Full Year'!C12</f>
        <v>Thanksgiving Offerings</v>
      </c>
      <c r="E11" s="38">
        <f>+'New Year-Full Year'!P12</f>
        <v>1000</v>
      </c>
      <c r="F11" s="38">
        <f>+'New Year-Full Year'!Q12</f>
        <v>1000</v>
      </c>
      <c r="G11" s="38">
        <f t="shared" si="2"/>
        <v>0</v>
      </c>
      <c r="H11" s="4">
        <f t="shared" si="0"/>
        <v>0</v>
      </c>
      <c r="J11" s="38">
        <f>+'New Year-Full Year'!U12</f>
        <v>170</v>
      </c>
      <c r="K11" s="38">
        <f>+'New Year-Full Year'!V12</f>
        <v>1000</v>
      </c>
      <c r="L11" s="4">
        <f t="shared" si="1"/>
        <v>-0.83</v>
      </c>
    </row>
    <row r="12" spans="1:12">
      <c r="A12" s="43">
        <v>6</v>
      </c>
      <c r="C12" s="1" t="str">
        <f>+'New Year-Full Year'!C13</f>
        <v>Christmas Offerings</v>
      </c>
      <c r="E12" s="38">
        <f>+'New Year-Full Year'!P13</f>
        <v>5000</v>
      </c>
      <c r="F12" s="38">
        <f>+'New Year-Full Year'!Q13</f>
        <v>5000</v>
      </c>
      <c r="G12" s="38">
        <f t="shared" si="2"/>
        <v>0</v>
      </c>
      <c r="H12" s="4">
        <f t="shared" si="0"/>
        <v>0</v>
      </c>
      <c r="J12" s="38">
        <f>+'New Year-Full Year'!U13</f>
        <v>0</v>
      </c>
      <c r="K12" s="38">
        <f>+'New Year-Full Year'!V13</f>
        <v>0</v>
      </c>
      <c r="L12" s="4" t="str">
        <f t="shared" si="1"/>
        <v>NA</v>
      </c>
    </row>
    <row r="13" spans="1:12">
      <c r="A13" s="43">
        <v>7</v>
      </c>
      <c r="C13" s="1" t="str">
        <f>+'New Year-Full Year'!C14</f>
        <v>Lenten Offerings</v>
      </c>
      <c r="E13" s="38">
        <f>+'New Year-Full Year'!P14</f>
        <v>3000</v>
      </c>
      <c r="F13" s="38">
        <f>+'New Year-Full Year'!Q14</f>
        <v>3000</v>
      </c>
      <c r="G13" s="38">
        <f t="shared" si="2"/>
        <v>0</v>
      </c>
      <c r="H13" s="4">
        <f t="shared" si="0"/>
        <v>0</v>
      </c>
      <c r="J13" s="38">
        <f>+'New Year-Full Year'!U14</f>
        <v>1739</v>
      </c>
      <c r="K13" s="38">
        <f>+'New Year-Full Year'!V14</f>
        <v>3000</v>
      </c>
      <c r="L13" s="4">
        <f t="shared" si="1"/>
        <v>-0.42033333333333334</v>
      </c>
    </row>
    <row r="14" spans="1:12">
      <c r="A14" s="43">
        <v>8</v>
      </c>
      <c r="B14" s="10" t="str">
        <f>+'New Year-Full Year'!B15</f>
        <v>Total Envelope Giving</v>
      </c>
      <c r="C14" s="10"/>
      <c r="D14" s="10"/>
      <c r="E14" s="10">
        <f>SUM(E8:E13)</f>
        <v>489500</v>
      </c>
      <c r="F14" s="10">
        <f>SUM(F8:F13)</f>
        <v>489500</v>
      </c>
      <c r="G14" s="10">
        <f>SUM(G8:G13)</f>
        <v>0</v>
      </c>
      <c r="H14" s="11">
        <f t="shared" si="0"/>
        <v>0</v>
      </c>
      <c r="J14" s="10">
        <f>SUM(J8:J13)</f>
        <v>436905.44</v>
      </c>
      <c r="K14" s="10">
        <f>SUM(K8:K13)</f>
        <v>442693.14</v>
      </c>
      <c r="L14" s="11">
        <f t="shared" si="1"/>
        <v>-1.3073841623116209E-2</v>
      </c>
    </row>
    <row r="15" spans="1:12" ht="5.25" customHeight="1">
      <c r="A15" s="43">
        <v>9</v>
      </c>
      <c r="H15" s="39"/>
    </row>
    <row r="16" spans="1:12">
      <c r="A16" s="43">
        <v>10</v>
      </c>
      <c r="B16" s="2" t="s">
        <v>7</v>
      </c>
      <c r="H16" s="39"/>
    </row>
    <row r="17" spans="1:12">
      <c r="A17" s="43">
        <v>11</v>
      </c>
      <c r="C17" s="1" t="str">
        <f>+'New Year-Full Year'!C18</f>
        <v>Loose Offerings &amp; Misc.</v>
      </c>
      <c r="E17" s="38">
        <f>+'New Year-Full Year'!P18</f>
        <v>9000</v>
      </c>
      <c r="F17" s="38">
        <f>+'New Year-Full Year'!Q18</f>
        <v>11000</v>
      </c>
      <c r="G17" s="38">
        <f t="shared" ref="G17:G20" si="3">+E17-F17</f>
        <v>-2000</v>
      </c>
      <c r="H17" s="4">
        <f t="shared" ref="H17:H23" si="4">IF(F17=0,"NA",(+E17-F17)/F17)</f>
        <v>-0.18181818181818182</v>
      </c>
      <c r="J17" s="38">
        <f>+'New Year-Full Year'!U18</f>
        <v>6192.07</v>
      </c>
      <c r="K17" s="38">
        <f>+'New Year-Full Year'!V18</f>
        <v>10083.370000000001</v>
      </c>
      <c r="L17" s="4">
        <f t="shared" ref="L17:L23" si="5">IF(K17=0,"NA",(+J17-K17)/K17)</f>
        <v>-0.38591264626806321</v>
      </c>
    </row>
    <row r="18" spans="1:12" hidden="1">
      <c r="A18" s="43">
        <v>12</v>
      </c>
      <c r="C18" s="1" t="str">
        <f>+'New Year-Full Year'!C19</f>
        <v>Misc Income</v>
      </c>
      <c r="E18" s="38">
        <f>+'New Year-Full Year'!P19</f>
        <v>0</v>
      </c>
      <c r="F18" s="38">
        <f>+'New Year-Full Year'!Q19</f>
        <v>0</v>
      </c>
      <c r="G18" s="38">
        <f t="shared" si="3"/>
        <v>0</v>
      </c>
      <c r="H18" s="4" t="str">
        <f t="shared" si="4"/>
        <v>NA</v>
      </c>
      <c r="J18" s="38">
        <f>+'New Year-Full Year'!U19</f>
        <v>0</v>
      </c>
      <c r="K18" s="38">
        <f>+'New Year-Full Year'!V19</f>
        <v>0</v>
      </c>
      <c r="L18" s="4" t="str">
        <f t="shared" si="5"/>
        <v>NA</v>
      </c>
    </row>
    <row r="19" spans="1:12" hidden="1">
      <c r="A19" s="43">
        <v>13</v>
      </c>
      <c r="C19" s="1" t="str">
        <f>+'New Year-Full Year'!C20</f>
        <v>Special Appeal</v>
      </c>
      <c r="E19" s="38">
        <f>+'New Year-Full Year'!P20</f>
        <v>0</v>
      </c>
      <c r="F19" s="38">
        <f>+'New Year-Full Year'!Q20</f>
        <v>0</v>
      </c>
      <c r="G19" s="38">
        <f t="shared" si="3"/>
        <v>0</v>
      </c>
      <c r="H19" s="4" t="str">
        <f t="shared" si="4"/>
        <v>NA</v>
      </c>
      <c r="J19" s="38">
        <f>+'New Year-Full Year'!U20</f>
        <v>0</v>
      </c>
      <c r="K19" s="38">
        <f>+'New Year-Full Year'!V20</f>
        <v>0</v>
      </c>
      <c r="L19" s="4" t="str">
        <f t="shared" si="5"/>
        <v>NA</v>
      </c>
    </row>
    <row r="20" spans="1:12">
      <c r="A20" s="43">
        <v>14</v>
      </c>
      <c r="C20" s="1" t="str">
        <f>+'New Year-Full Year'!C21</f>
        <v>Current Investment Income</v>
      </c>
      <c r="E20" s="38">
        <f>+'New Year-Full Year'!P21</f>
        <v>0</v>
      </c>
      <c r="F20" s="38">
        <f>+'New Year-Full Year'!Q21</f>
        <v>0</v>
      </c>
      <c r="G20" s="38">
        <f t="shared" si="3"/>
        <v>0</v>
      </c>
      <c r="H20" s="4" t="str">
        <f t="shared" si="4"/>
        <v>NA</v>
      </c>
      <c r="J20" s="38">
        <f>+'New Year-Full Year'!U21</f>
        <v>1.42</v>
      </c>
      <c r="K20" s="38">
        <f>+'New Year-Full Year'!V21</f>
        <v>0</v>
      </c>
      <c r="L20" s="4" t="str">
        <f t="shared" si="5"/>
        <v>NA</v>
      </c>
    </row>
    <row r="21" spans="1:12" hidden="1">
      <c r="A21" s="43">
        <v>15</v>
      </c>
      <c r="C21" s="1" t="str">
        <f>+'New Year-Full Year'!C22</f>
        <v>Clearing Account</v>
      </c>
      <c r="E21" s="38">
        <f>+'New Year-Full Year'!P22</f>
        <v>0</v>
      </c>
      <c r="F21" s="38">
        <f>+'New Year-Full Year'!Q22</f>
        <v>0</v>
      </c>
      <c r="G21" s="38"/>
      <c r="H21" s="4" t="str">
        <f t="shared" si="4"/>
        <v>NA</v>
      </c>
      <c r="J21" s="38">
        <f>+'New Year-Full Year'!U22</f>
        <v>0</v>
      </c>
      <c r="K21" s="38">
        <f>+'New Year-Full Year'!V22</f>
        <v>0</v>
      </c>
      <c r="L21" s="4" t="str">
        <f t="shared" si="5"/>
        <v>NA</v>
      </c>
    </row>
    <row r="22" spans="1:12">
      <c r="A22" s="43">
        <v>16</v>
      </c>
      <c r="B22" s="10" t="str">
        <f>+'New Year-Full Year'!B23</f>
        <v>Total Misc Income</v>
      </c>
      <c r="C22" s="10"/>
      <c r="D22" s="10"/>
      <c r="E22" s="10">
        <f>SUM(E17:E21)</f>
        <v>9000</v>
      </c>
      <c r="F22" s="10">
        <f>SUM(F17:F21)</f>
        <v>11000</v>
      </c>
      <c r="G22" s="10">
        <f>SUM(G17:G21)</f>
        <v>-2000</v>
      </c>
      <c r="H22" s="11">
        <f t="shared" si="4"/>
        <v>-0.18181818181818182</v>
      </c>
      <c r="J22" s="10">
        <f>SUM(J17:J21)</f>
        <v>6193.49</v>
      </c>
      <c r="K22" s="10">
        <f>SUM(K17:K21)</f>
        <v>10083.370000000001</v>
      </c>
      <c r="L22" s="11">
        <f t="shared" si="5"/>
        <v>-0.38577182033387653</v>
      </c>
    </row>
    <row r="23" spans="1:12">
      <c r="A23" s="43">
        <v>17</v>
      </c>
      <c r="B23" s="10" t="str">
        <f>+'New Year-Full Year'!B24</f>
        <v>TOTAL INCOME</v>
      </c>
      <c r="C23" s="10"/>
      <c r="D23" s="10"/>
      <c r="E23" s="10">
        <f>+E14+E22</f>
        <v>498500</v>
      </c>
      <c r="F23" s="10">
        <f>+F14+F22</f>
        <v>500500</v>
      </c>
      <c r="G23" s="10">
        <f>+G14+G22</f>
        <v>-2000</v>
      </c>
      <c r="H23" s="11">
        <f t="shared" si="4"/>
        <v>-3.996003996003996E-3</v>
      </c>
      <c r="J23" s="10">
        <f>+J14+J22</f>
        <v>443098.93</v>
      </c>
      <c r="K23" s="10">
        <f>+K14+K22</f>
        <v>452776.51</v>
      </c>
      <c r="L23" s="11">
        <f t="shared" si="5"/>
        <v>-2.1373856165815705E-2</v>
      </c>
    </row>
    <row r="24" spans="1:12" ht="6" customHeight="1">
      <c r="A24" s="43">
        <v>18</v>
      </c>
      <c r="H24" s="39"/>
    </row>
    <row r="25" spans="1:12" ht="18.5">
      <c r="A25" s="43">
        <v>19</v>
      </c>
      <c r="B25" s="7" t="s">
        <v>12</v>
      </c>
      <c r="H25" s="39"/>
    </row>
    <row r="26" spans="1:12" s="2" customFormat="1">
      <c r="A26" s="43">
        <v>26</v>
      </c>
      <c r="B26" s="12"/>
      <c r="C26" s="12" t="str">
        <f>+'New Year-Full Year'!C43</f>
        <v>8% Benevolence</v>
      </c>
      <c r="D26" s="12"/>
      <c r="E26" s="12">
        <f>+'New Year-Full Year'!P43</f>
        <v>40040</v>
      </c>
      <c r="F26" s="12">
        <f>+'New Year-Full Year'!Q43</f>
        <v>40040</v>
      </c>
      <c r="G26" s="12">
        <f t="shared" ref="G26" si="6">+E26-F26</f>
        <v>0</v>
      </c>
      <c r="H26" s="14">
        <f>IF(F26=0,"NA",(+E26-F26)/F26)</f>
        <v>0</v>
      </c>
      <c r="I26" s="1"/>
      <c r="J26" s="12">
        <f>+'New Year-Full Year'!U43</f>
        <v>36328.369999999995</v>
      </c>
      <c r="K26" s="12">
        <f>+'New Year-Full Year'!V43</f>
        <v>34828.369999999995</v>
      </c>
      <c r="L26" s="14">
        <f>IF(K26=0,"NA",(+J26-K26)/K26)</f>
        <v>4.3068337679885688E-2</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762" t="str">
        <f>+'New Year-Full Year'!B46</f>
        <v>Parish Ed</v>
      </c>
      <c r="C29" s="762"/>
      <c r="D29" s="762"/>
      <c r="H29" s="39"/>
    </row>
    <row r="30" spans="1:12">
      <c r="A30" s="43">
        <v>30</v>
      </c>
      <c r="C30" s="1" t="str">
        <f>+'New Year-Full Year'!C47</f>
        <v>Sunday School</v>
      </c>
      <c r="E30" s="38">
        <f>+'New Year-Full Year'!P47</f>
        <v>2300</v>
      </c>
      <c r="F30" s="38">
        <f>+'New Year-Full Year'!Q47</f>
        <v>2300</v>
      </c>
      <c r="G30" s="38">
        <f t="shared" ref="G30:G36" si="7">+E30-F30</f>
        <v>0</v>
      </c>
      <c r="H30" s="4">
        <f t="shared" ref="H30:H37" si="8">IF(F30=0,"NA",(+E30-F30)/F30)</f>
        <v>0</v>
      </c>
      <c r="J30" s="38">
        <f>+'New Year-Full Year'!U47</f>
        <v>1443.83</v>
      </c>
      <c r="K30" s="38">
        <f>+'New Year-Full Year'!V47</f>
        <v>2044.44</v>
      </c>
      <c r="L30" s="4">
        <f t="shared" ref="L30:L37" si="9">IF(K30=0,"NA",(+J30-K30)/K30)</f>
        <v>-0.29377726908101981</v>
      </c>
    </row>
    <row r="31" spans="1:12">
      <c r="A31" s="43">
        <v>31</v>
      </c>
      <c r="C31" s="1" t="str">
        <f>+'New Year-Full Year'!C49</f>
        <v>Confirmation</v>
      </c>
      <c r="E31" s="38">
        <f>+'New Year-Full Year'!P49</f>
        <v>1000</v>
      </c>
      <c r="F31" s="38">
        <f>+'New Year-Full Year'!Q49</f>
        <v>1000</v>
      </c>
      <c r="G31" s="38">
        <f t="shared" si="7"/>
        <v>0</v>
      </c>
      <c r="H31" s="4">
        <f t="shared" si="8"/>
        <v>0</v>
      </c>
      <c r="J31" s="38">
        <f>+'New Year-Full Year'!U49</f>
        <v>83.7</v>
      </c>
      <c r="K31" s="38">
        <f>+'New Year-Full Year'!V49</f>
        <v>1000</v>
      </c>
      <c r="L31" s="4">
        <f t="shared" si="9"/>
        <v>-0.9163</v>
      </c>
    </row>
    <row r="32" spans="1:12">
      <c r="A32" s="43">
        <v>32</v>
      </c>
      <c r="C32" s="1" t="str">
        <f>+'New Year-Full Year'!C51</f>
        <v>Neighborhood Camp</v>
      </c>
      <c r="E32" s="38">
        <f>+'New Year-Full Year'!P51</f>
        <v>250</v>
      </c>
      <c r="F32" s="38">
        <f>+'New Year-Full Year'!Q51</f>
        <v>250</v>
      </c>
      <c r="G32" s="38">
        <f t="shared" si="7"/>
        <v>0</v>
      </c>
      <c r="H32" s="4">
        <f t="shared" si="8"/>
        <v>0</v>
      </c>
      <c r="J32" s="38">
        <f>+'New Year-Full Year'!U51</f>
        <v>0</v>
      </c>
      <c r="K32" s="38">
        <f>+'New Year-Full Year'!V51</f>
        <v>250</v>
      </c>
      <c r="L32" s="4">
        <f t="shared" si="9"/>
        <v>-1</v>
      </c>
    </row>
    <row r="33" spans="1:12">
      <c r="A33" s="43">
        <v>33</v>
      </c>
      <c r="C33" s="1" t="str">
        <f>+'New Year-Full Year'!C53</f>
        <v>Library</v>
      </c>
      <c r="E33" s="38">
        <f>+'New Year-Full Year'!P53</f>
        <v>300</v>
      </c>
      <c r="F33" s="38">
        <f>+'New Year-Full Year'!Q53</f>
        <v>300</v>
      </c>
      <c r="G33" s="38">
        <f t="shared" si="7"/>
        <v>0</v>
      </c>
      <c r="H33" s="4">
        <f t="shared" si="8"/>
        <v>0</v>
      </c>
      <c r="J33" s="38">
        <f>+'New Year-Full Year'!U53</f>
        <v>0</v>
      </c>
      <c r="K33" s="38">
        <f>+'New Year-Full Year'!V53</f>
        <v>0</v>
      </c>
      <c r="L33" s="4" t="str">
        <f t="shared" si="9"/>
        <v>NA</v>
      </c>
    </row>
    <row r="34" spans="1:12">
      <c r="A34" s="43">
        <v>34</v>
      </c>
      <c r="C34" s="1" t="str">
        <f>+'New Year-Full Year'!C55</f>
        <v>Communion Education</v>
      </c>
      <c r="E34" s="38">
        <f>+'New Year-Full Year'!P55</f>
        <v>200</v>
      </c>
      <c r="F34" s="38">
        <f>+'New Year-Full Year'!Q55</f>
        <v>200</v>
      </c>
      <c r="G34" s="38">
        <f t="shared" si="7"/>
        <v>0</v>
      </c>
      <c r="H34" s="4">
        <f t="shared" si="8"/>
        <v>0</v>
      </c>
      <c r="J34" s="38">
        <f>+'New Year-Full Year'!U55</f>
        <v>76.92</v>
      </c>
      <c r="K34" s="38">
        <f>+'New Year-Full Year'!V55</f>
        <v>200</v>
      </c>
      <c r="L34" s="4">
        <f t="shared" si="9"/>
        <v>-0.61539999999999995</v>
      </c>
    </row>
    <row r="35" spans="1:12">
      <c r="C35" s="1" t="str">
        <f>+'New Year-Full Year'!C57</f>
        <v>Adult Education</v>
      </c>
      <c r="E35" s="38">
        <f>+'New Year-Full Year'!P57</f>
        <v>550</v>
      </c>
      <c r="F35" s="38">
        <f>+'New Year-Full Year'!Q57</f>
        <v>550</v>
      </c>
      <c r="G35" s="38">
        <f t="shared" si="7"/>
        <v>0</v>
      </c>
      <c r="H35" s="4">
        <f t="shared" si="8"/>
        <v>0</v>
      </c>
      <c r="J35" s="38">
        <f>+'New Year-Full Year'!U57</f>
        <v>249.8</v>
      </c>
      <c r="K35" s="38">
        <f>+'New Year-Full Year'!V57</f>
        <v>504.13</v>
      </c>
      <c r="L35" s="4">
        <f>IF(K35=0,"NA",(+J35-K35)/K35)</f>
        <v>-0.50449288873901565</v>
      </c>
    </row>
    <row r="36" spans="1:12">
      <c r="A36" s="43">
        <v>35</v>
      </c>
      <c r="C36" s="1" t="str">
        <f>+'New Year-Full Year'!C59</f>
        <v>Cradle Roll</v>
      </c>
      <c r="E36" s="38">
        <f>+'New Year-Full Year'!P59</f>
        <v>250</v>
      </c>
      <c r="F36" s="38">
        <f>+'New Year-Full Year'!Q59</f>
        <v>250</v>
      </c>
      <c r="G36" s="38">
        <f t="shared" si="7"/>
        <v>0</v>
      </c>
      <c r="H36" s="4">
        <f t="shared" si="8"/>
        <v>0</v>
      </c>
      <c r="J36" s="38">
        <f>+'New Year-Full Year'!U59</f>
        <v>0</v>
      </c>
      <c r="K36" s="38">
        <f>+'New Year-Full Year'!V59</f>
        <v>229.13</v>
      </c>
      <c r="L36" s="4">
        <f t="shared" si="9"/>
        <v>-1</v>
      </c>
    </row>
    <row r="37" spans="1:12" s="2" customFormat="1">
      <c r="A37" s="43">
        <v>36</v>
      </c>
      <c r="B37" s="37" t="str">
        <f>+'New Year-Full Year'!B61</f>
        <v>Total Parish Ed</v>
      </c>
      <c r="C37" s="37"/>
      <c r="D37" s="37"/>
      <c r="E37" s="37">
        <f>SUM(E30:E36)</f>
        <v>4850</v>
      </c>
      <c r="F37" s="37">
        <f>SUM(F30:F36)</f>
        <v>4850</v>
      </c>
      <c r="G37" s="37">
        <f>SUM(G30:G36)</f>
        <v>0</v>
      </c>
      <c r="H37" s="21">
        <f t="shared" si="8"/>
        <v>0</v>
      </c>
      <c r="J37" s="37">
        <f>SUM(J30:J36)</f>
        <v>1854.25</v>
      </c>
      <c r="K37" s="37">
        <f>SUM(K30:K36)</f>
        <v>4227.7</v>
      </c>
      <c r="L37" s="21">
        <f t="shared" si="9"/>
        <v>-0.56140454620715752</v>
      </c>
    </row>
    <row r="38" spans="1:12" ht="6" customHeight="1">
      <c r="A38" s="43">
        <v>37</v>
      </c>
      <c r="H38" s="39"/>
    </row>
    <row r="39" spans="1:12">
      <c r="A39" s="43">
        <v>40</v>
      </c>
      <c r="B39" s="2" t="str">
        <f>+'New Year-Full Year'!B63</f>
        <v>Worship</v>
      </c>
      <c r="H39" s="39"/>
    </row>
    <row r="40" spans="1:12">
      <c r="A40" s="43">
        <v>41</v>
      </c>
      <c r="C40" s="1" t="str">
        <f>+'New Year-Full Year'!C64</f>
        <v>Worship Supplies</v>
      </c>
      <c r="E40" s="38">
        <f>+'New Year-Full Year'!P64</f>
        <v>3500</v>
      </c>
      <c r="F40" s="38">
        <f>+'New Year-Full Year'!Q64</f>
        <v>3500</v>
      </c>
      <c r="G40" s="38">
        <f t="shared" ref="G40:G42" si="10">+E40-F40</f>
        <v>0</v>
      </c>
      <c r="H40" s="4">
        <f>IF(F40=0,"NA",(+E40-F40)/F40)</f>
        <v>0</v>
      </c>
      <c r="J40" s="38">
        <f>+'New Year-Full Year'!U64</f>
        <v>2483.39</v>
      </c>
      <c r="K40" s="38">
        <f>+'New Year-Full Year'!V64</f>
        <v>3208.37</v>
      </c>
      <c r="L40" s="4">
        <f>IF(K40=0,"NA",(+J40-K40)/K40)</f>
        <v>-0.22596520974825224</v>
      </c>
    </row>
    <row r="41" spans="1:12">
      <c r="A41" s="43">
        <v>43</v>
      </c>
      <c r="C41" s="1" t="str">
        <f>+'New Year-Full Year'!C66</f>
        <v>Children's Services</v>
      </c>
      <c r="E41" s="38">
        <f>+'New Year-Full Year'!P66</f>
        <v>100</v>
      </c>
      <c r="F41" s="38">
        <f>+'New Year-Full Year'!Q66</f>
        <v>100</v>
      </c>
      <c r="G41" s="38">
        <f t="shared" si="10"/>
        <v>0</v>
      </c>
      <c r="H41" s="4">
        <f>IF(F41=0,"NA",(+E41-F41)/F41)</f>
        <v>0</v>
      </c>
      <c r="J41" s="38">
        <f>+'New Year-Full Year'!U66</f>
        <v>0</v>
      </c>
      <c r="K41" s="38">
        <f>+'New Year-Full Year'!V66</f>
        <v>91.63</v>
      </c>
      <c r="L41" s="4">
        <f>IF(K41=0,"NA",(+J41-K41)/K41)</f>
        <v>-1</v>
      </c>
    </row>
    <row r="42" spans="1:12">
      <c r="A42" s="43">
        <v>44</v>
      </c>
      <c r="C42" s="1" t="str">
        <f>+'New Year-Full Year'!C67</f>
        <v>Flowers</v>
      </c>
      <c r="E42" s="38">
        <f>+'New Year-Full Year'!P67</f>
        <v>200</v>
      </c>
      <c r="F42" s="38">
        <f>+'New Year-Full Year'!Q67</f>
        <v>200</v>
      </c>
      <c r="G42" s="38">
        <f t="shared" si="10"/>
        <v>0</v>
      </c>
      <c r="H42" s="4">
        <f>IF(F42=0,"NA",(+E42-F42)/F42)</f>
        <v>0</v>
      </c>
      <c r="J42" s="38">
        <f>+'New Year-Full Year'!U67</f>
        <v>97.5</v>
      </c>
      <c r="K42" s="38">
        <f>+'New Year-Full Year'!V67</f>
        <v>183.37</v>
      </c>
      <c r="L42" s="4">
        <f>IF(K42=0,"NA",(+J42-K42)/K42)</f>
        <v>-0.46828816054970823</v>
      </c>
    </row>
    <row r="43" spans="1:12" s="2" customFormat="1">
      <c r="A43" s="43">
        <v>45</v>
      </c>
      <c r="B43" s="37" t="str">
        <f>+'New Year-Full Year'!B68</f>
        <v>Total Worship</v>
      </c>
      <c r="C43" s="37"/>
      <c r="D43" s="37"/>
      <c r="E43" s="37">
        <f>SUM(E40:E42)</f>
        <v>3800</v>
      </c>
      <c r="F43" s="37">
        <f>SUM(F40:F42)</f>
        <v>3800</v>
      </c>
      <c r="G43" s="37">
        <f>SUM(G40:G42)</f>
        <v>0</v>
      </c>
      <c r="H43" s="21">
        <f>IF(F43=0,"NA",(+E43-F43)/F43)</f>
        <v>0</v>
      </c>
      <c r="J43" s="37">
        <f>SUM(J40:J42)</f>
        <v>2580.89</v>
      </c>
      <c r="K43" s="37">
        <f>SUM(K40:K42)</f>
        <v>3483.37</v>
      </c>
      <c r="L43" s="21">
        <f>IF(K43=0,"NA",(+J43-K43)/K43)</f>
        <v>-0.25908244028053296</v>
      </c>
    </row>
    <row r="44" spans="1:12" ht="6.75" customHeight="1">
      <c r="A44" s="43">
        <v>46</v>
      </c>
      <c r="H44" s="39"/>
    </row>
    <row r="45" spans="1:12" s="2" customFormat="1">
      <c r="A45" s="43">
        <v>51</v>
      </c>
      <c r="B45" s="37" t="str">
        <f>+'New Year-Full Year'!B70</f>
        <v>Youth</v>
      </c>
      <c r="C45" s="37"/>
      <c r="D45" s="37"/>
      <c r="E45" s="37">
        <f>+'New Year-Full Year'!P70</f>
        <v>12800</v>
      </c>
      <c r="F45" s="37">
        <f>+'New Year-Full Year'!Q70</f>
        <v>12800</v>
      </c>
      <c r="G45" s="37">
        <f t="shared" ref="G45" si="11">+E45-F45</f>
        <v>0</v>
      </c>
      <c r="H45" s="21">
        <f>IF(F45=0,"NA",(+E45-F45)/F45)</f>
        <v>0</v>
      </c>
      <c r="J45" s="37">
        <f>+'New Year-Full Year'!U70</f>
        <v>3817.03</v>
      </c>
      <c r="K45" s="37">
        <f>+'New Year-Full Year'!V70</f>
        <v>11733.37</v>
      </c>
      <c r="L45" s="21">
        <f>IF(K45=0,"NA",(+J45-K45)/K45)</f>
        <v>-0.67468595978819379</v>
      </c>
    </row>
    <row r="46" spans="1:12" ht="6.75" customHeight="1">
      <c r="A46" s="43">
        <v>52</v>
      </c>
      <c r="H46" s="39"/>
    </row>
    <row r="47" spans="1:12">
      <c r="A47" s="43">
        <v>53</v>
      </c>
      <c r="B47" s="2" t="str">
        <f>+'New Year-Full Year'!B74</f>
        <v>Church Membership</v>
      </c>
      <c r="H47" s="39"/>
    </row>
    <row r="48" spans="1:12">
      <c r="A48" s="43">
        <v>54</v>
      </c>
      <c r="C48" s="1" t="str">
        <f>+'New Year-Full Year'!C75</f>
        <v>Church Membership Activities</v>
      </c>
      <c r="E48" s="38">
        <f>+'New Year-Full Year'!P75</f>
        <v>400</v>
      </c>
      <c r="F48" s="38">
        <f>+'New Year-Full Year'!Q75</f>
        <v>400</v>
      </c>
      <c r="G48" s="38">
        <f t="shared" ref="G48:G49" si="12">+E48-F48</f>
        <v>0</v>
      </c>
      <c r="H48" s="4">
        <f>IF(F48=0,"NA",(+E48-F48)/F48)</f>
        <v>0</v>
      </c>
      <c r="J48" s="38">
        <f>+'New Year-Full Year'!U75</f>
        <v>0</v>
      </c>
      <c r="K48" s="38">
        <f>+'New Year-Full Year'!V75</f>
        <v>366.63</v>
      </c>
      <c r="L48" s="4">
        <f>IF(K48=0,"NA",(+J48-K48)/K48)</f>
        <v>-1</v>
      </c>
    </row>
    <row r="49" spans="1:12">
      <c r="A49" s="43">
        <v>55</v>
      </c>
      <c r="C49" s="1" t="str">
        <f>+'New Year-Full Year'!C77</f>
        <v>Sunday Coffee</v>
      </c>
      <c r="E49" s="38">
        <f>+'New Year-Full Year'!P77</f>
        <v>150</v>
      </c>
      <c r="F49" s="38">
        <f>+'New Year-Full Year'!Q77</f>
        <v>150</v>
      </c>
      <c r="G49" s="38">
        <f t="shared" si="12"/>
        <v>0</v>
      </c>
      <c r="H49" s="4">
        <f>IF(F49=0,"NA",(+E49-F49)/F49)</f>
        <v>0</v>
      </c>
      <c r="J49" s="38">
        <f>+'New Year-Full Year'!U77</f>
        <v>25.7</v>
      </c>
      <c r="K49" s="38">
        <f>+'New Year-Full Year'!V77</f>
        <v>137.5</v>
      </c>
      <c r="L49" s="4">
        <f>IF(K49=0,"NA",(+J49-K49)/K49)</f>
        <v>-0.81309090909090909</v>
      </c>
    </row>
    <row r="50" spans="1:12" s="2" customFormat="1">
      <c r="A50" s="43">
        <v>56</v>
      </c>
      <c r="B50" s="37" t="str">
        <f>+'New Year-Full Year'!B79</f>
        <v>Total Church Membership</v>
      </c>
      <c r="C50" s="37"/>
      <c r="D50" s="37"/>
      <c r="E50" s="37">
        <f>SUM(E48:E49)</f>
        <v>550</v>
      </c>
      <c r="F50" s="37">
        <f>SUM(F48:F49)</f>
        <v>550</v>
      </c>
      <c r="G50" s="37">
        <f>SUM(G48:G49)</f>
        <v>0</v>
      </c>
      <c r="H50" s="21">
        <f>IF(F50=0,"NA",(+E50-F50)/F50)</f>
        <v>0</v>
      </c>
      <c r="J50" s="37">
        <f>SUM(J48:J49)</f>
        <v>25.7</v>
      </c>
      <c r="K50" s="37">
        <f>SUM(K48:K49)</f>
        <v>504.13</v>
      </c>
      <c r="L50" s="21">
        <f>IF(K50=0,"NA",(+J50-K50)/K50)</f>
        <v>-0.94902108583103562</v>
      </c>
    </row>
    <row r="51" spans="1:12" ht="5.25" customHeight="1">
      <c r="A51" s="43">
        <v>57</v>
      </c>
      <c r="H51" s="39"/>
    </row>
    <row r="52" spans="1:12">
      <c r="A52" s="43">
        <v>58</v>
      </c>
      <c r="B52" s="37" t="str">
        <f>+'New Year-Full Year'!B81</f>
        <v>Church &amp; Community</v>
      </c>
      <c r="C52" s="22"/>
      <c r="D52" s="22"/>
      <c r="E52" s="45">
        <f>+'New Year-Full Year'!P81</f>
        <v>200</v>
      </c>
      <c r="F52" s="45">
        <f>+'New Year-Full Year'!Q81</f>
        <v>200</v>
      </c>
      <c r="G52" s="37">
        <f t="shared" ref="G52" si="13">+E52-F52</f>
        <v>0</v>
      </c>
      <c r="H52" s="21">
        <f>IF(F52=0,"NA",(+E52-F52)/F52)</f>
        <v>0</v>
      </c>
      <c r="J52" s="45">
        <f>+'New Year-Full Year'!U81</f>
        <v>152.04</v>
      </c>
      <c r="K52" s="45">
        <f>+'New Year-Full Year'!V81</f>
        <v>183.37</v>
      </c>
      <c r="L52" s="21">
        <f>IF(K52=0,"NA",(+J52-K52)/K52)</f>
        <v>-0.17085673774336049</v>
      </c>
    </row>
    <row r="53" spans="1:12" ht="6" customHeight="1">
      <c r="A53" s="43">
        <v>59</v>
      </c>
      <c r="H53" s="39"/>
    </row>
    <row r="54" spans="1:12">
      <c r="A54" s="43">
        <v>60</v>
      </c>
      <c r="B54" s="2" t="str">
        <f>+'New Year-Full Year'!B84</f>
        <v>Misc Programs</v>
      </c>
      <c r="H54" s="39"/>
    </row>
    <row r="55" spans="1:12">
      <c r="A55" s="43">
        <v>61</v>
      </c>
      <c r="C55" s="1" t="str">
        <f>+'New Year-Full Year'!C85</f>
        <v>Stewardship</v>
      </c>
      <c r="E55" s="38">
        <f>+'New Year-Full Year'!P85</f>
        <v>200</v>
      </c>
      <c r="F55" s="38">
        <f>+'New Year-Full Year'!Q85</f>
        <v>200</v>
      </c>
      <c r="G55" s="38">
        <f t="shared" ref="G55:G60" si="14">+E55-F55</f>
        <v>0</v>
      </c>
      <c r="H55" s="4">
        <f t="shared" ref="H55:H61" si="15">IF(F55=0,"NA",(+E55-F55)/F55)</f>
        <v>0</v>
      </c>
      <c r="J55" s="38">
        <f>+'New Year-Full Year'!U85</f>
        <v>129.99</v>
      </c>
      <c r="K55" s="38">
        <f>+'New Year-Full Year'!V85</f>
        <v>200</v>
      </c>
      <c r="L55" s="4">
        <f t="shared" ref="L55:L61" si="16">IF(K55=0,"NA",(+J55-K55)/K55)</f>
        <v>-0.35004999999999997</v>
      </c>
    </row>
    <row r="56" spans="1:12">
      <c r="A56" s="43">
        <v>62</v>
      </c>
      <c r="C56" s="1" t="str">
        <f>+'New Year-Full Year'!C86</f>
        <v>Envelopes, Giving</v>
      </c>
      <c r="E56" s="38">
        <f>+'New Year-Full Year'!P86</f>
        <v>500</v>
      </c>
      <c r="F56" s="38">
        <f>+'New Year-Full Year'!Q86</f>
        <v>700</v>
      </c>
      <c r="G56" s="38">
        <f t="shared" si="14"/>
        <v>-200</v>
      </c>
      <c r="H56" s="4">
        <f t="shared" si="15"/>
        <v>-0.2857142857142857</v>
      </c>
      <c r="J56" s="38">
        <f>+'New Year-Full Year'!U86</f>
        <v>492.92</v>
      </c>
      <c r="K56" s="38">
        <f>+'New Year-Full Year'!V86</f>
        <v>700</v>
      </c>
      <c r="L56" s="4">
        <f t="shared" si="16"/>
        <v>-0.29582857142857139</v>
      </c>
    </row>
    <row r="57" spans="1:12">
      <c r="A57" s="43">
        <v>63</v>
      </c>
      <c r="C57" s="1" t="str">
        <f>+'New Year-Full Year'!C87</f>
        <v>Synod Assembly</v>
      </c>
      <c r="E57" s="38">
        <f>+'New Year-Full Year'!P87</f>
        <v>1000</v>
      </c>
      <c r="F57" s="38">
        <f>+'New Year-Full Year'!Q87</f>
        <v>1000</v>
      </c>
      <c r="G57" s="38">
        <f t="shared" si="14"/>
        <v>0</v>
      </c>
      <c r="H57" s="4">
        <f t="shared" si="15"/>
        <v>0</v>
      </c>
      <c r="J57" s="38">
        <f>+'New Year-Full Year'!U87</f>
        <v>72</v>
      </c>
      <c r="K57" s="38">
        <f>+'New Year-Full Year'!V87</f>
        <v>1000</v>
      </c>
      <c r="L57" s="4">
        <f t="shared" si="16"/>
        <v>-0.92800000000000005</v>
      </c>
    </row>
    <row r="58" spans="1:12">
      <c r="A58" s="43">
        <v>64</v>
      </c>
      <c r="C58" s="1" t="str">
        <f>+'New Year-Full Year'!C89</f>
        <v>Evangelism</v>
      </c>
      <c r="E58" s="38">
        <f>+'New Year-Full Year'!P89</f>
        <v>3000</v>
      </c>
      <c r="F58" s="38">
        <f>+'New Year-Full Year'!Q89</f>
        <v>3000</v>
      </c>
      <c r="G58" s="38">
        <f t="shared" si="14"/>
        <v>0</v>
      </c>
      <c r="H58" s="4">
        <f t="shared" si="15"/>
        <v>0</v>
      </c>
      <c r="J58" s="38">
        <f>+'New Year-Full Year'!U89</f>
        <v>210</v>
      </c>
      <c r="K58" s="38">
        <f>+'New Year-Full Year'!V89</f>
        <v>2750</v>
      </c>
      <c r="L58" s="4">
        <f t="shared" si="16"/>
        <v>-0.92363636363636359</v>
      </c>
    </row>
    <row r="59" spans="1:12">
      <c r="C59" s="1" t="str">
        <f>+'New Year-Full Year'!C90</f>
        <v>Other Programs</v>
      </c>
      <c r="E59" s="38">
        <f>+'New Year-Full Year'!P90</f>
        <v>200</v>
      </c>
      <c r="F59" s="38">
        <f>+'New Year-Full Year'!Q90</f>
        <v>200</v>
      </c>
      <c r="G59" s="38">
        <f t="shared" si="14"/>
        <v>0</v>
      </c>
      <c r="H59" s="4">
        <f>IF(F59=0,"NA",(+E59-F59)/F59)</f>
        <v>0</v>
      </c>
      <c r="J59" s="38">
        <f>+'New Year-Full Year'!U90</f>
        <v>0</v>
      </c>
      <c r="K59" s="38">
        <f>+'New Year-Full Year'!V90</f>
        <v>183.37</v>
      </c>
      <c r="L59" s="4">
        <f>IF(K59=0,"NA",(+J59-K59)/K59)</f>
        <v>-1</v>
      </c>
    </row>
    <row r="60" spans="1:12">
      <c r="A60" s="43">
        <v>65</v>
      </c>
      <c r="C60" s="1" t="str">
        <f>+'New Year-Full Year'!C91</f>
        <v>Organ/Piano Maintenance</v>
      </c>
      <c r="E60" s="38">
        <f>+'New Year-Full Year'!P91</f>
        <v>1575</v>
      </c>
      <c r="F60" s="38">
        <f>+'New Year-Full Year'!Q91</f>
        <v>1575</v>
      </c>
      <c r="G60" s="38">
        <f t="shared" si="14"/>
        <v>0</v>
      </c>
      <c r="H60" s="4">
        <f t="shared" si="15"/>
        <v>0</v>
      </c>
      <c r="J60" s="38">
        <f>+'New Year-Full Year'!U91</f>
        <v>0</v>
      </c>
      <c r="K60" s="38">
        <f>+'New Year-Full Year'!V91</f>
        <v>1443.75</v>
      </c>
      <c r="L60" s="4">
        <f t="shared" si="16"/>
        <v>-1</v>
      </c>
    </row>
    <row r="61" spans="1:12" s="2" customFormat="1">
      <c r="A61" s="43">
        <v>66</v>
      </c>
      <c r="B61" s="37" t="str">
        <f>+'New Year-Full Year'!B93</f>
        <v>Total Misc Programs</v>
      </c>
      <c r="C61" s="37"/>
      <c r="D61" s="37"/>
      <c r="E61" s="37">
        <f>SUM(E55:E60)</f>
        <v>6475</v>
      </c>
      <c r="F61" s="37">
        <f>SUM(F55:F60)</f>
        <v>6675</v>
      </c>
      <c r="G61" s="37">
        <f>SUM(G55:G60)</f>
        <v>-200</v>
      </c>
      <c r="H61" s="21">
        <f t="shared" si="15"/>
        <v>-2.9962546816479401E-2</v>
      </c>
      <c r="J61" s="37">
        <f>SUM(J55:J60)</f>
        <v>904.91000000000008</v>
      </c>
      <c r="K61" s="37">
        <f>SUM(K55:K60)</f>
        <v>6277.12</v>
      </c>
      <c r="L61" s="21">
        <f t="shared" si="16"/>
        <v>-0.85583993933523661</v>
      </c>
    </row>
    <row r="62" spans="1:12" ht="6" customHeight="1">
      <c r="A62" s="43">
        <v>67</v>
      </c>
      <c r="H62" s="39"/>
    </row>
    <row r="63" spans="1:12">
      <c r="A63" s="43">
        <v>68</v>
      </c>
      <c r="B63" s="2" t="str">
        <f>+'New Year-Full Year'!B95</f>
        <v>Office Expense</v>
      </c>
      <c r="H63" s="39"/>
    </row>
    <row r="64" spans="1:12">
      <c r="A64" s="43">
        <v>69</v>
      </c>
      <c r="C64" s="1" t="str">
        <f>+'New Year-Full Year'!C96</f>
        <v>Office Supplies</v>
      </c>
      <c r="E64" s="38">
        <f>+'New Year-Full Year'!P96</f>
        <v>3500</v>
      </c>
      <c r="F64" s="38">
        <f>+'New Year-Full Year'!Q96</f>
        <v>3500</v>
      </c>
      <c r="G64" s="38">
        <f t="shared" ref="G64:G69" si="17">+E64-F64</f>
        <v>0</v>
      </c>
      <c r="H64" s="4">
        <f t="shared" ref="H64:H71" si="18">IF(F64=0,"NA",(+E64-F64)/F64)</f>
        <v>0</v>
      </c>
      <c r="J64" s="38">
        <f>+'New Year-Full Year'!U96</f>
        <v>2352.2600000000002</v>
      </c>
      <c r="K64" s="38">
        <f>+'New Year-Full Year'!V96</f>
        <v>3208.37</v>
      </c>
      <c r="L64" s="4">
        <f t="shared" ref="L64:L71" si="19">IF(K64=0,"NA",(+J64-K64)/K64)</f>
        <v>-0.26683643096026943</v>
      </c>
    </row>
    <row r="65" spans="1:13">
      <c r="A65" s="43">
        <v>70</v>
      </c>
      <c r="C65" s="1" t="str">
        <f>+'New Year-Full Year'!C97</f>
        <v>Postage</v>
      </c>
      <c r="E65" s="38">
        <f>+'New Year-Full Year'!P97</f>
        <v>2250</v>
      </c>
      <c r="F65" s="38">
        <f>+'New Year-Full Year'!Q97</f>
        <v>2250</v>
      </c>
      <c r="G65" s="38">
        <f t="shared" si="17"/>
        <v>0</v>
      </c>
      <c r="H65" s="4">
        <f t="shared" si="18"/>
        <v>0</v>
      </c>
      <c r="J65" s="38">
        <f>+'New Year-Full Year'!U97</f>
        <v>3477</v>
      </c>
      <c r="K65" s="38">
        <f>+'New Year-Full Year'!V97</f>
        <v>2062.5</v>
      </c>
      <c r="L65" s="4">
        <f t="shared" si="19"/>
        <v>0.68581818181818177</v>
      </c>
    </row>
    <row r="66" spans="1:13">
      <c r="A66" s="43">
        <v>73</v>
      </c>
      <c r="C66" s="1" t="str">
        <f>+'New Year-Full Year'!C98</f>
        <v>Office Equipment/Computer</v>
      </c>
      <c r="E66" s="38">
        <f>+'New Year-Full Year'!P98</f>
        <v>13000</v>
      </c>
      <c r="F66" s="38">
        <f>+'New Year-Full Year'!Q98</f>
        <v>13000</v>
      </c>
      <c r="G66" s="38">
        <f t="shared" si="17"/>
        <v>0</v>
      </c>
      <c r="H66" s="4">
        <f t="shared" si="18"/>
        <v>0</v>
      </c>
      <c r="J66" s="38">
        <f>+'New Year-Full Year'!U98</f>
        <v>12041.22</v>
      </c>
      <c r="K66" s="38">
        <f>+'New Year-Full Year'!V98</f>
        <v>11916.63</v>
      </c>
      <c r="L66" s="4">
        <f t="shared" si="19"/>
        <v>1.0455137064757414E-2</v>
      </c>
    </row>
    <row r="67" spans="1:13">
      <c r="A67" s="43">
        <v>74</v>
      </c>
      <c r="C67" s="1" t="str">
        <f>+'New Year-Full Year'!C100</f>
        <v>Kitchen Supplies</v>
      </c>
      <c r="E67" s="38">
        <f>+'New Year-Full Year'!P100</f>
        <v>1200</v>
      </c>
      <c r="F67" s="38">
        <f>+'New Year-Full Year'!Q100</f>
        <v>1200</v>
      </c>
      <c r="G67" s="38">
        <f t="shared" si="17"/>
        <v>0</v>
      </c>
      <c r="H67" s="4">
        <f t="shared" si="18"/>
        <v>0</v>
      </c>
      <c r="J67" s="38">
        <f>+'New Year-Full Year'!U100</f>
        <v>577.24</v>
      </c>
      <c r="K67" s="38">
        <f>+'New Year-Full Year'!V100</f>
        <v>1100</v>
      </c>
      <c r="L67" s="4">
        <f t="shared" si="19"/>
        <v>-0.47523636363636362</v>
      </c>
    </row>
    <row r="68" spans="1:13">
      <c r="A68" s="43">
        <v>75</v>
      </c>
      <c r="C68" s="1" t="str">
        <f>+'New Year-Full Year'!C101</f>
        <v>Bank Fees</v>
      </c>
      <c r="E68" s="38">
        <f>+'New Year-Full Year'!P101</f>
        <v>1700</v>
      </c>
      <c r="F68" s="38">
        <f>+'New Year-Full Year'!Q101</f>
        <v>1700</v>
      </c>
      <c r="G68" s="38">
        <f t="shared" si="17"/>
        <v>0</v>
      </c>
      <c r="H68" s="4">
        <f t="shared" si="18"/>
        <v>0</v>
      </c>
      <c r="J68" s="38">
        <f>+'New Year-Full Year'!U101</f>
        <v>1400.94</v>
      </c>
      <c r="K68" s="38">
        <f>+'New Year-Full Year'!V101</f>
        <v>1558.37</v>
      </c>
      <c r="L68" s="4">
        <f t="shared" si="19"/>
        <v>-0.10102222193702384</v>
      </c>
    </row>
    <row r="69" spans="1:13">
      <c r="A69" s="43">
        <v>76</v>
      </c>
      <c r="C69" s="1" t="str">
        <f>+'New Year-Full Year'!C102</f>
        <v>Professional Fees</v>
      </c>
      <c r="E69" s="38">
        <f>+'New Year-Full Year'!P102</f>
        <v>2500</v>
      </c>
      <c r="F69" s="38">
        <f>+'New Year-Full Year'!Q102</f>
        <v>4500</v>
      </c>
      <c r="G69" s="38">
        <f t="shared" si="17"/>
        <v>-2000</v>
      </c>
      <c r="H69" s="4">
        <f>IF(F69=0,"NA",(+E69-F69)/F69)</f>
        <v>-0.44444444444444442</v>
      </c>
      <c r="J69" s="38">
        <f>+'New Year-Full Year'!U102</f>
        <v>0</v>
      </c>
      <c r="K69" s="38">
        <f>+'New Year-Full Year'!V102</f>
        <v>4125</v>
      </c>
      <c r="L69" s="4">
        <f>IF(K69=0,"NA",(+J69-K69)/K69)</f>
        <v>-1</v>
      </c>
    </row>
    <row r="70" spans="1:13" s="2" customFormat="1">
      <c r="A70" s="43">
        <v>76</v>
      </c>
      <c r="B70" s="37" t="str">
        <f>+'New Year-Full Year'!B103</f>
        <v>Total Office Expense</v>
      </c>
      <c r="C70" s="37"/>
      <c r="D70" s="37"/>
      <c r="E70" s="37">
        <f>SUM(E64:E69)</f>
        <v>24150</v>
      </c>
      <c r="F70" s="37">
        <f>SUM(F64:F69)</f>
        <v>26150</v>
      </c>
      <c r="G70" s="37">
        <f>SUM(G64:G69)</f>
        <v>-2000</v>
      </c>
      <c r="H70" s="21">
        <f t="shared" si="18"/>
        <v>-7.6481835564053538E-2</v>
      </c>
      <c r="J70" s="37">
        <f>SUM(J64:J69)</f>
        <v>19848.66</v>
      </c>
      <c r="K70" s="37">
        <f>SUM(K64:K69)</f>
        <v>23970.87</v>
      </c>
      <c r="L70" s="21">
        <f t="shared" si="19"/>
        <v>-0.17196747552341651</v>
      </c>
    </row>
    <row r="71" spans="1:13">
      <c r="A71" s="43">
        <v>77</v>
      </c>
      <c r="B71" s="37" t="str">
        <f>+'New Year-Full Year'!B104</f>
        <v>TOTAL PROGRAMS</v>
      </c>
      <c r="C71" s="23"/>
      <c r="D71" s="23"/>
      <c r="E71" s="37">
        <f>+E37+E43+E45+E52+E61+E70+E50</f>
        <v>52825</v>
      </c>
      <c r="F71" s="37">
        <f>+F37+F43+F45+F52+F61+F70+F50</f>
        <v>55025</v>
      </c>
      <c r="G71" s="37">
        <f>+G37+G43+G45+G52+G61+G70+G50</f>
        <v>-2200</v>
      </c>
      <c r="H71" s="21">
        <f t="shared" si="18"/>
        <v>-3.9981826442526125E-2</v>
      </c>
      <c r="J71" s="37">
        <f>+J37+J43+J45+J52+J61+J70+J50</f>
        <v>29183.48</v>
      </c>
      <c r="K71" s="37">
        <f>+K37+K43+K45+K52+K61+K70+K50</f>
        <v>50379.93</v>
      </c>
      <c r="L71" s="21">
        <f t="shared" si="19"/>
        <v>-0.42073202563004752</v>
      </c>
    </row>
    <row r="72" spans="1:13" ht="8.25" customHeight="1">
      <c r="A72" s="43">
        <v>78</v>
      </c>
      <c r="H72" s="39"/>
    </row>
    <row r="73" spans="1:13" ht="18.5">
      <c r="A73" s="43">
        <v>79</v>
      </c>
      <c r="B73" s="7" t="s">
        <v>38</v>
      </c>
      <c r="H73" s="39"/>
    </row>
    <row r="74" spans="1:13" hidden="1">
      <c r="B74" s="2" t="s">
        <v>407</v>
      </c>
      <c r="H74" s="39"/>
    </row>
    <row r="75" spans="1:13" hidden="1">
      <c r="A75" s="43">
        <v>81</v>
      </c>
      <c r="C75" s="753" t="s">
        <v>524</v>
      </c>
      <c r="D75" s="753"/>
      <c r="E75" s="38">
        <f>+'New Year-Full Year'!P$108+'New Year-Full Year'!P$145+'New Year-Full Year'!P$158+SUM('New Year-Full Year'!P$161:P$163)+SUM('New Year-Full Year'!P$168:P$169)+'New Year-Full Year'!P$172</f>
        <v>191261</v>
      </c>
      <c r="F75" s="38">
        <f>+'New Year-Full Year'!Q$108+'New Year-Full Year'!Q$145+'New Year-Full Year'!Q$158+SUM('New Year-Full Year'!Q$161:Q$163)+SUM('New Year-Full Year'!Q$168:Q$169)+'New Year-Full Year'!Q$172</f>
        <v>212669</v>
      </c>
      <c r="G75" s="38">
        <f t="shared" ref="G75:G76" si="20">+E75-F75</f>
        <v>-21408</v>
      </c>
      <c r="H75" s="4">
        <f>IF(F75=0,"NA",(+E75-F75)/F75)</f>
        <v>-0.10066347234434732</v>
      </c>
      <c r="J75" s="38">
        <f>+'New Year-Full Year'!U$108+'New Year-Full Year'!U$145+'New Year-Full Year'!U$158+SUM('New Year-Full Year'!U$161:U$163)+SUM('New Year-Full Year'!U$168:U$169)+'New Year-Full Year'!U$172</f>
        <v>168055.03000000003</v>
      </c>
      <c r="K75" s="38">
        <f>+'New Year-Full Year'!V$108+'New Year-Full Year'!V$145+'New Year-Full Year'!V$158+SUM('New Year-Full Year'!V$161:V$163)+SUM('New Year-Full Year'!V$168:V$169)+'New Year-Full Year'!V$172</f>
        <v>194596.33</v>
      </c>
      <c r="L75" s="4">
        <f>IF(K75=0,"NA",(+J75-K75)/K75)</f>
        <v>-0.13639157531902046</v>
      </c>
    </row>
    <row r="76" spans="1:13" hidden="1">
      <c r="A76" s="43">
        <v>83</v>
      </c>
      <c r="C76" s="1" t="s">
        <v>101</v>
      </c>
      <c r="E76" s="38">
        <f>SUM('New Year-Full Year'!P109:P117)+'New Year-Full Year'!P166+'New Year-Full Year'!P167+'New Year-Full Year'!P170+'New Year-Full Year'!P171</f>
        <v>42953</v>
      </c>
      <c r="F76" s="38">
        <f>SUM('New Year-Full Year'!Q109:Q117)+'New Year-Full Year'!Q166+'New Year-Full Year'!Q167+'New Year-Full Year'!Q170+'New Year-Full Year'!Q171</f>
        <v>42906</v>
      </c>
      <c r="G76" s="38">
        <f t="shared" si="20"/>
        <v>47</v>
      </c>
      <c r="H76" s="4">
        <f>IF(F76=0,"NA",(+E76-F76)/F76)</f>
        <v>1.0954178902717569E-3</v>
      </c>
      <c r="J76" s="38">
        <f>SUM('New Year-Full Year'!U109:U117)+'New Year-Full Year'!U166+'New Year-Full Year'!U167+'New Year-Full Year'!U170+'New Year-Full Year'!U171</f>
        <v>32841.800000000003</v>
      </c>
      <c r="K76" s="38">
        <f>SUM('New Year-Full Year'!V109:V117)+'New Year-Full Year'!V166+'New Year-Full Year'!V167+'New Year-Full Year'!V170+'New Year-Full Year'!V171</f>
        <v>38667.01</v>
      </c>
      <c r="L76" s="4">
        <f>IF(K76=0,"NA",(+J76-K76)/K76)</f>
        <v>-0.15065064508478931</v>
      </c>
      <c r="M76" s="325"/>
    </row>
    <row r="77" spans="1:13" hidden="1">
      <c r="B77" s="2" t="s">
        <v>408</v>
      </c>
      <c r="D77" s="2" t="s">
        <v>525</v>
      </c>
      <c r="E77" s="38"/>
      <c r="F77" s="38"/>
      <c r="G77" s="38"/>
      <c r="H77" s="4"/>
      <c r="J77" s="38"/>
      <c r="K77" s="38"/>
      <c r="L77" s="4"/>
      <c r="M77" s="325"/>
    </row>
    <row r="78" spans="1:13" hidden="1">
      <c r="C78" s="753" t="s">
        <v>411</v>
      </c>
      <c r="D78" s="753"/>
      <c r="E78" s="38">
        <f>'New Year-Full Year'!P$131+'New Year-Full Year'!P$140+'New Year-Full Year'!P$144</f>
        <v>86398</v>
      </c>
      <c r="F78" s="38">
        <f>'New Year-Full Year'!Q$131+'New Year-Full Year'!Q$140+'New Year-Full Year'!Q$144</f>
        <v>76044</v>
      </c>
      <c r="G78" s="38">
        <f t="shared" ref="G78" si="21">+E78-F78</f>
        <v>10354</v>
      </c>
      <c r="H78" s="4">
        <f>IF(F78=0,"NA",(+E78-F78)/F78)</f>
        <v>0.13615801378149492</v>
      </c>
      <c r="J78" s="38">
        <f>'New Year-Full Year'!U$131+'New Year-Full Year'!U$140+'New Year-Full Year'!U$144</f>
        <v>38611.549999999996</v>
      </c>
      <c r="K78" s="38">
        <f>'New Year-Full Year'!V$131+'New Year-Full Year'!V$140+'New Year-Full Year'!V$144</f>
        <v>67922.100000000006</v>
      </c>
      <c r="L78" s="4">
        <f>IF(K78=0,"NA",(+J78-K78)/K78)</f>
        <v>-0.43153185781947273</v>
      </c>
      <c r="M78" s="325"/>
    </row>
    <row r="79" spans="1:13" s="2" customFormat="1">
      <c r="A79" s="43">
        <v>86</v>
      </c>
      <c r="B79" s="24" t="s">
        <v>526</v>
      </c>
      <c r="C79" s="24"/>
      <c r="D79" s="24"/>
      <c r="E79" s="24">
        <f>SUM(E75:E78)</f>
        <v>320612</v>
      </c>
      <c r="F79" s="24">
        <f>SUM(F75:F78)</f>
        <v>331619</v>
      </c>
      <c r="G79" s="24">
        <f t="shared" ref="G79" si="22">+E79-F79</f>
        <v>-11007</v>
      </c>
      <c r="H79" s="25">
        <f>IF(F79=0,"NA",(+E79-F79)/F79)</f>
        <v>-3.3191704938498698E-2</v>
      </c>
      <c r="J79" s="24">
        <f>SUM(J75:J78)</f>
        <v>239508.38</v>
      </c>
      <c r="K79" s="24">
        <f>SUM(K75:K78)</f>
        <v>301185.44</v>
      </c>
      <c r="L79" s="25">
        <f>IF(K79=0,"NA",(+J79-K79)/K79)</f>
        <v>-0.20478101464665754</v>
      </c>
      <c r="M79" s="326"/>
    </row>
    <row r="80" spans="1:13" ht="8.25" customHeight="1">
      <c r="A80" s="43">
        <v>129</v>
      </c>
      <c r="H80" s="39"/>
    </row>
    <row r="81" spans="1:12" ht="18.5">
      <c r="A81" s="43">
        <v>130</v>
      </c>
      <c r="B81" s="7" t="str">
        <f>+'New Year-Full Year'!B176</f>
        <v>Facilities</v>
      </c>
      <c r="H81" s="39"/>
    </row>
    <row r="82" spans="1:12">
      <c r="A82" s="43">
        <v>131</v>
      </c>
      <c r="B82" s="2" t="str">
        <f>+'New Year-Full Year'!B177</f>
        <v>Utilities</v>
      </c>
      <c r="H82" s="39"/>
    </row>
    <row r="83" spans="1:12">
      <c r="A83" s="43">
        <v>132</v>
      </c>
      <c r="C83" s="1" t="str">
        <f>+'New Year-Full Year'!C178</f>
        <v>Electric</v>
      </c>
      <c r="E83" s="38">
        <f>+'New Year-Full Year'!P178</f>
        <v>12000</v>
      </c>
      <c r="F83" s="38">
        <f>+'New Year-Full Year'!Q178</f>
        <v>12000</v>
      </c>
      <c r="G83" s="38">
        <f t="shared" ref="G83:G89" si="23">+E83-F83</f>
        <v>0</v>
      </c>
      <c r="H83" s="4">
        <f t="shared" ref="H83:H90" si="24">IF(F83=0,"NA",(+E83-F83)/F83)</f>
        <v>0</v>
      </c>
      <c r="J83" s="38">
        <f>+'New Year-Full Year'!U178</f>
        <v>9734.31</v>
      </c>
      <c r="K83" s="38">
        <f>+'New Year-Full Year'!V178</f>
        <v>11000</v>
      </c>
      <c r="L83" s="4">
        <f t="shared" ref="L83:L90" si="25">IF(K83=0,"NA",(+J83-K83)/K83)</f>
        <v>-0.11506272727272732</v>
      </c>
    </row>
    <row r="84" spans="1:12">
      <c r="A84" s="43">
        <v>133</v>
      </c>
      <c r="C84" s="1" t="str">
        <f>+'New Year-Full Year'!C180</f>
        <v>Gas</v>
      </c>
      <c r="E84" s="38">
        <f>+'New Year-Full Year'!P180</f>
        <v>10000</v>
      </c>
      <c r="F84" s="38">
        <f>+'New Year-Full Year'!Q180</f>
        <v>10000</v>
      </c>
      <c r="G84" s="38">
        <f t="shared" si="23"/>
        <v>0</v>
      </c>
      <c r="H84" s="4">
        <f t="shared" si="24"/>
        <v>0</v>
      </c>
      <c r="J84" s="38">
        <f>+'New Year-Full Year'!U180</f>
        <v>7700</v>
      </c>
      <c r="K84" s="38">
        <f>+'New Year-Full Year'!V180</f>
        <v>9166.6299999999992</v>
      </c>
      <c r="L84" s="4">
        <f t="shared" si="25"/>
        <v>-0.15999663998655989</v>
      </c>
    </row>
    <row r="85" spans="1:12">
      <c r="A85" s="43">
        <v>134</v>
      </c>
      <c r="C85" s="1" t="str">
        <f>+'New Year-Full Year'!C182</f>
        <v>Telephone</v>
      </c>
      <c r="E85" s="38">
        <f>+'New Year-Full Year'!P182</f>
        <v>4400</v>
      </c>
      <c r="F85" s="38">
        <f>+'New Year-Full Year'!Q182</f>
        <v>4400</v>
      </c>
      <c r="G85" s="38">
        <f t="shared" si="23"/>
        <v>0</v>
      </c>
      <c r="H85" s="4">
        <f t="shared" si="24"/>
        <v>0</v>
      </c>
      <c r="J85" s="38">
        <f>+'New Year-Full Year'!U182</f>
        <v>4322.7299999999996</v>
      </c>
      <c r="K85" s="38">
        <f>+'New Year-Full Year'!V182</f>
        <v>4033.37</v>
      </c>
      <c r="L85" s="4">
        <f t="shared" si="25"/>
        <v>7.1741496564907178E-2</v>
      </c>
    </row>
    <row r="86" spans="1:12">
      <c r="A86" s="43">
        <v>135</v>
      </c>
      <c r="C86" s="1" t="str">
        <f>+'New Year-Full Year'!C185</f>
        <v>Water</v>
      </c>
      <c r="E86" s="38">
        <f>+'New Year-Full Year'!P185</f>
        <v>1000</v>
      </c>
      <c r="F86" s="38">
        <f>+'New Year-Full Year'!Q185</f>
        <v>1000</v>
      </c>
      <c r="G86" s="38">
        <f t="shared" si="23"/>
        <v>0</v>
      </c>
      <c r="H86" s="4">
        <f t="shared" si="24"/>
        <v>0</v>
      </c>
      <c r="J86" s="38">
        <f>+'New Year-Full Year'!U185</f>
        <v>903.9</v>
      </c>
      <c r="K86" s="38">
        <f>+'New Year-Full Year'!V185</f>
        <v>1000</v>
      </c>
      <c r="L86" s="4">
        <f t="shared" si="25"/>
        <v>-9.6100000000000019E-2</v>
      </c>
    </row>
    <row r="87" spans="1:12">
      <c r="A87" s="43">
        <v>136</v>
      </c>
      <c r="C87" s="1" t="str">
        <f>+'New Year-Full Year'!C187</f>
        <v>Security</v>
      </c>
      <c r="E87" s="38">
        <f>+'New Year-Full Year'!P187</f>
        <v>350</v>
      </c>
      <c r="F87" s="38">
        <f>+'New Year-Full Year'!Q187</f>
        <v>350</v>
      </c>
      <c r="G87" s="38">
        <f t="shared" si="23"/>
        <v>0</v>
      </c>
      <c r="H87" s="4">
        <f t="shared" si="24"/>
        <v>0</v>
      </c>
      <c r="J87" s="38">
        <f>+'New Year-Full Year'!U187</f>
        <v>353.35</v>
      </c>
      <c r="K87" s="38">
        <f>+'New Year-Full Year'!V187</f>
        <v>320.87</v>
      </c>
      <c r="L87" s="4">
        <f t="shared" si="25"/>
        <v>0.10122479508835359</v>
      </c>
    </row>
    <row r="88" spans="1:12">
      <c r="A88" s="43">
        <v>137</v>
      </c>
      <c r="C88" s="1" t="str">
        <f>+'New Year-Full Year'!C189</f>
        <v>Cell Phone</v>
      </c>
      <c r="E88" s="38">
        <f>+'New Year-Full Year'!P189</f>
        <v>0</v>
      </c>
      <c r="F88" s="38">
        <f>+'New Year-Full Year'!Q189</f>
        <v>250</v>
      </c>
      <c r="G88" s="38">
        <f t="shared" si="23"/>
        <v>-250</v>
      </c>
      <c r="H88" s="4">
        <f t="shared" si="24"/>
        <v>-1</v>
      </c>
      <c r="J88" s="38">
        <f>+'New Year-Full Year'!U189</f>
        <v>285.89999999999998</v>
      </c>
      <c r="K88" s="38">
        <f>+'New Year-Full Year'!V189</f>
        <v>250.02</v>
      </c>
      <c r="L88" s="4">
        <f t="shared" si="25"/>
        <v>0.14350851931845438</v>
      </c>
    </row>
    <row r="89" spans="1:12">
      <c r="A89" s="43">
        <v>138</v>
      </c>
      <c r="C89" s="1" t="str">
        <f>+'New Year-Full Year'!C191</f>
        <v>City Assessment</v>
      </c>
      <c r="E89" s="38">
        <f>+'New Year-Full Year'!P191</f>
        <v>5200</v>
      </c>
      <c r="F89" s="38">
        <f>+'New Year-Full Year'!Q191</f>
        <v>4800</v>
      </c>
      <c r="G89" s="38">
        <f t="shared" si="23"/>
        <v>400</v>
      </c>
      <c r="H89" s="4">
        <f t="shared" si="24"/>
        <v>8.3333333333333329E-2</v>
      </c>
      <c r="J89" s="38">
        <f>+'New Year-Full Year'!U191</f>
        <v>5419.78</v>
      </c>
      <c r="K89" s="38">
        <f>+'New Year-Full Year'!V191</f>
        <v>4800</v>
      </c>
      <c r="L89" s="4">
        <f t="shared" si="25"/>
        <v>0.12912083333333327</v>
      </c>
    </row>
    <row r="90" spans="1:12" s="2" customFormat="1">
      <c r="A90" s="43">
        <v>139</v>
      </c>
      <c r="B90" s="27" t="str">
        <f>+'New Year-Full Year'!B193</f>
        <v>Total Utilities</v>
      </c>
      <c r="C90" s="27"/>
      <c r="D90" s="27"/>
      <c r="E90" s="27">
        <f>SUM(E83:E89)</f>
        <v>32950</v>
      </c>
      <c r="F90" s="27">
        <f>SUM(F83:F89)</f>
        <v>32800</v>
      </c>
      <c r="G90" s="27">
        <f>SUM(G83:G89)</f>
        <v>150</v>
      </c>
      <c r="H90" s="28">
        <f t="shared" si="24"/>
        <v>4.5731707317073168E-3</v>
      </c>
      <c r="J90" s="27">
        <f>SUM(J83:J89)</f>
        <v>28719.969999999998</v>
      </c>
      <c r="K90" s="27">
        <f>SUM(K83:K89)</f>
        <v>30570.889999999996</v>
      </c>
      <c r="L90" s="28">
        <f t="shared" si="25"/>
        <v>-6.0545178763195921E-2</v>
      </c>
    </row>
    <row r="91" spans="1:12" s="2" customFormat="1" ht="6.75" customHeight="1">
      <c r="A91" s="43">
        <v>140</v>
      </c>
      <c r="B91" s="15"/>
      <c r="C91" s="15"/>
      <c r="D91" s="15"/>
      <c r="E91" s="15"/>
      <c r="F91" s="15"/>
      <c r="G91" s="15"/>
      <c r="H91" s="18"/>
      <c r="J91" s="15"/>
      <c r="K91" s="15"/>
      <c r="L91" s="18"/>
    </row>
    <row r="92" spans="1:12">
      <c r="A92" s="43">
        <v>141</v>
      </c>
      <c r="B92" s="2" t="str">
        <f>+'New Year-Full Year'!B195</f>
        <v>Church Maintenance</v>
      </c>
      <c r="H92" s="39"/>
    </row>
    <row r="93" spans="1:12">
      <c r="A93" s="43">
        <v>142</v>
      </c>
      <c r="C93" s="1" t="str">
        <f>+'New Year-Full Year'!C196</f>
        <v>Insurance</v>
      </c>
      <c r="E93" s="38">
        <f>+'New Year-Full Year'!P196</f>
        <v>12758</v>
      </c>
      <c r="F93" s="38">
        <f>+'New Year-Full Year'!Q196</f>
        <v>15500</v>
      </c>
      <c r="G93" s="38">
        <f t="shared" ref="G93:G97" si="26">+E93-F93</f>
        <v>-2742</v>
      </c>
      <c r="H93" s="4">
        <f t="shared" ref="H93:H100" si="27">IF(F93=0,"NA",(+E93-F93)/F93)</f>
        <v>-0.17690322580645162</v>
      </c>
      <c r="J93" s="38">
        <f>+'New Year-Full Year'!U196</f>
        <v>9041.5</v>
      </c>
      <c r="K93" s="38">
        <f>+'New Year-Full Year'!V196</f>
        <v>11625</v>
      </c>
      <c r="L93" s="4">
        <f t="shared" ref="L93:L100" si="28">IF(K93=0,"NA",(+J93-K93)/K93)</f>
        <v>-0.22223655913978493</v>
      </c>
    </row>
    <row r="94" spans="1:12">
      <c r="A94" s="43">
        <v>143</v>
      </c>
      <c r="C94" s="1" t="str">
        <f>+'New Year-Full Year'!C198</f>
        <v>Snow Removal</v>
      </c>
      <c r="E94" s="38">
        <f>+'New Year-Full Year'!P198</f>
        <v>5000</v>
      </c>
      <c r="F94" s="38">
        <f>+'New Year-Full Year'!Q198</f>
        <v>5000</v>
      </c>
      <c r="G94" s="38">
        <f t="shared" si="26"/>
        <v>0</v>
      </c>
      <c r="H94" s="4">
        <f t="shared" si="27"/>
        <v>0</v>
      </c>
      <c r="J94" s="38">
        <f>+'New Year-Full Year'!U198</f>
        <v>3506.8</v>
      </c>
      <c r="K94" s="38">
        <f>+'New Year-Full Year'!V198</f>
        <v>4166.66</v>
      </c>
      <c r="L94" s="4">
        <f t="shared" si="28"/>
        <v>-0.15836665338664535</v>
      </c>
    </row>
    <row r="95" spans="1:12">
      <c r="A95" s="43">
        <v>144</v>
      </c>
      <c r="C95" s="1" t="str">
        <f>+'New Year-Full Year'!C200</f>
        <v>Maint.  Supplies</v>
      </c>
      <c r="E95" s="38">
        <f>+'New Year-Full Year'!P200</f>
        <v>4500</v>
      </c>
      <c r="F95" s="38">
        <f>+'New Year-Full Year'!Q200</f>
        <v>4500</v>
      </c>
      <c r="G95" s="38">
        <f t="shared" si="26"/>
        <v>0</v>
      </c>
      <c r="H95" s="4">
        <f t="shared" si="27"/>
        <v>0</v>
      </c>
      <c r="J95" s="38">
        <f>+'New Year-Full Year'!U200</f>
        <v>10429.67</v>
      </c>
      <c r="K95" s="38">
        <f>+'New Year-Full Year'!V200</f>
        <v>4125</v>
      </c>
      <c r="L95" s="4">
        <f t="shared" si="28"/>
        <v>1.5284048484848485</v>
      </c>
    </row>
    <row r="96" spans="1:12" ht="15" customHeight="1">
      <c r="A96" s="43">
        <v>145</v>
      </c>
      <c r="C96" s="1" t="str">
        <f>+'New Year-Full Year'!C202</f>
        <v>Maintenance Contracts</v>
      </c>
      <c r="D96" s="76"/>
      <c r="E96" s="38">
        <f>+'New Year-Full Year'!P202</f>
        <v>6000</v>
      </c>
      <c r="F96" s="38">
        <f>+'New Year-Full Year'!Q202</f>
        <v>6000</v>
      </c>
      <c r="G96" s="38">
        <f t="shared" si="26"/>
        <v>0</v>
      </c>
      <c r="H96" s="4">
        <f t="shared" si="27"/>
        <v>0</v>
      </c>
      <c r="J96" s="38">
        <f>+'New Year-Full Year'!U202</f>
        <v>4943.6899999999996</v>
      </c>
      <c r="K96" s="38">
        <f>+'New Year-Full Year'!V202</f>
        <v>5500</v>
      </c>
      <c r="L96" s="4">
        <f t="shared" si="28"/>
        <v>-0.10114727272727279</v>
      </c>
    </row>
    <row r="97" spans="1:12">
      <c r="A97" s="43">
        <v>146</v>
      </c>
      <c r="C97" s="1" t="str">
        <f>+'New Year-Full Year'!C205</f>
        <v>Building Repairs</v>
      </c>
      <c r="E97" s="38">
        <f>+'New Year-Full Year'!P205</f>
        <v>10000</v>
      </c>
      <c r="F97" s="38">
        <f>+'New Year-Full Year'!Q205</f>
        <v>10000</v>
      </c>
      <c r="G97" s="38">
        <f t="shared" si="26"/>
        <v>0</v>
      </c>
      <c r="H97" s="4">
        <f t="shared" si="27"/>
        <v>0</v>
      </c>
      <c r="J97" s="38">
        <f>+'New Year-Full Year'!U205</f>
        <v>5577.1</v>
      </c>
      <c r="K97" s="38">
        <f>+'New Year-Full Year'!V205</f>
        <v>9166.6299999999992</v>
      </c>
      <c r="L97" s="4">
        <f t="shared" si="28"/>
        <v>-0.39158665725571984</v>
      </c>
    </row>
    <row r="98" spans="1:12" hidden="1">
      <c r="A98" s="43">
        <v>149</v>
      </c>
      <c r="C98" s="1" t="str">
        <f>+'New Year-Full Year'!C208</f>
        <v>Interest-Line of Credit</v>
      </c>
      <c r="E98" s="38">
        <f>+'New Year-Full Year'!P208</f>
        <v>0</v>
      </c>
      <c r="F98" s="38">
        <f>+'New Year-Full Year'!Q208</f>
        <v>0</v>
      </c>
      <c r="G98" s="38"/>
      <c r="H98" s="4" t="str">
        <f t="shared" si="27"/>
        <v>NA</v>
      </c>
      <c r="J98" s="38">
        <f>+'New Year-Full Year'!U208</f>
        <v>0</v>
      </c>
      <c r="K98" s="38">
        <f>+'New Year-Full Year'!V208</f>
        <v>0</v>
      </c>
      <c r="L98" s="4" t="str">
        <f t="shared" si="28"/>
        <v>NA</v>
      </c>
    </row>
    <row r="99" spans="1:12" s="2" customFormat="1">
      <c r="A99" s="43">
        <v>150</v>
      </c>
      <c r="B99" s="27" t="str">
        <f>+'New Year-Full Year'!B209</f>
        <v>Total Church Maintenance</v>
      </c>
      <c r="C99" s="27"/>
      <c r="D99" s="27"/>
      <c r="E99" s="27">
        <f>SUM(E93:E98)</f>
        <v>38258</v>
      </c>
      <c r="F99" s="27">
        <f>SUM(F93:F98)</f>
        <v>41000</v>
      </c>
      <c r="G99" s="27">
        <f>SUM(G93:G98)</f>
        <v>-2742</v>
      </c>
      <c r="H99" s="28">
        <f t="shared" si="27"/>
        <v>-6.6878048780487809E-2</v>
      </c>
      <c r="J99" s="27">
        <f>SUM(J93:J98)</f>
        <v>33498.76</v>
      </c>
      <c r="K99" s="27">
        <f>SUM(K93:K98)</f>
        <v>34583.29</v>
      </c>
      <c r="L99" s="28">
        <f t="shared" si="28"/>
        <v>-3.1359942908844092E-2</v>
      </c>
    </row>
    <row r="100" spans="1:12">
      <c r="A100" s="43">
        <v>151</v>
      </c>
      <c r="B100" s="27" t="str">
        <f>+'New Year-Full Year'!B210</f>
        <v>TOTAL FACILITIES</v>
      </c>
      <c r="C100" s="27"/>
      <c r="D100" s="27"/>
      <c r="E100" s="27">
        <f>+E90+E99</f>
        <v>71208</v>
      </c>
      <c r="F100" s="27">
        <f>+F90+F99</f>
        <v>73800</v>
      </c>
      <c r="G100" s="27">
        <f>+G90+G99</f>
        <v>-2592</v>
      </c>
      <c r="H100" s="28">
        <f t="shared" si="27"/>
        <v>-3.5121951219512199E-2</v>
      </c>
      <c r="J100" s="27">
        <f>+J90+J99</f>
        <v>62218.729999999996</v>
      </c>
      <c r="K100" s="27">
        <f>+K90+K99</f>
        <v>65154.179999999993</v>
      </c>
      <c r="L100" s="28">
        <f t="shared" si="28"/>
        <v>-4.5053901376703648E-2</v>
      </c>
    </row>
    <row r="101" spans="1:12" ht="4.5" customHeight="1">
      <c r="A101" s="43">
        <v>152</v>
      </c>
      <c r="H101" s="39"/>
    </row>
    <row r="102" spans="1:12" ht="18.5">
      <c r="A102" s="43">
        <v>153</v>
      </c>
      <c r="B102" s="7" t="str">
        <f>+'New Year-Full Year'!B212</f>
        <v>Disbursements</v>
      </c>
      <c r="H102" s="39"/>
    </row>
    <row r="103" spans="1:12">
      <c r="A103" s="43">
        <v>154</v>
      </c>
      <c r="B103" s="2" t="str">
        <f>+'New Year-Full Year'!B213</f>
        <v>Restricted Funds</v>
      </c>
      <c r="H103" s="39"/>
    </row>
    <row r="104" spans="1:12">
      <c r="A104" s="43">
        <v>155</v>
      </c>
      <c r="C104" s="1" t="str">
        <f>'New Year-Full Year'!C214</f>
        <v>Operating Fund Reserve</v>
      </c>
      <c r="E104" s="38">
        <f>SUM('New Year-Full Year'!P214:P214)</f>
        <v>-8185</v>
      </c>
      <c r="F104" s="38">
        <f>SUM('New Year-Full Year'!Q214:Q214)</f>
        <v>0</v>
      </c>
      <c r="G104" s="38">
        <f t="shared" ref="G104:G108" si="29">+E104-F104</f>
        <v>-8185</v>
      </c>
      <c r="H104" s="4" t="str">
        <f t="shared" ref="H104:H110" si="30">IF(F104=0,"NA",(+E104-F104)/F104)</f>
        <v>NA</v>
      </c>
      <c r="J104" s="38">
        <f>SUM('New Year-Full Year'!U214:U214)</f>
        <v>0</v>
      </c>
      <c r="K104" s="38">
        <f>SUM('New Year-Full Year'!V214:V214)</f>
        <v>0</v>
      </c>
      <c r="L104" s="4" t="str">
        <f t="shared" ref="L104:L110" si="31">IF(K104=0,"NA",(+J104-K104)/K104)</f>
        <v>NA</v>
      </c>
    </row>
    <row r="105" spans="1:12" hidden="1">
      <c r="C105" s="1" t="str">
        <f>'New Year-Full Year'!C215</f>
        <v>Pastor Transition</v>
      </c>
      <c r="E105" s="38">
        <f>SUM('New Year-Full Year'!P215:P215)</f>
        <v>0</v>
      </c>
      <c r="F105" s="38">
        <f>SUM('New Year-Full Year'!Q215:Q215)</f>
        <v>0</v>
      </c>
      <c r="G105" s="38">
        <f t="shared" si="29"/>
        <v>0</v>
      </c>
      <c r="H105" s="4" t="str">
        <f>IF(F105=0,"NA",(+E105-F105)/F105)</f>
        <v>NA</v>
      </c>
      <c r="J105" s="38">
        <f>SUM('New Year-Full Year'!U215:U215)</f>
        <v>0</v>
      </c>
      <c r="K105" s="38">
        <f>SUM('New Year-Full Year'!V215:V215)</f>
        <v>0</v>
      </c>
      <c r="L105" s="4" t="str">
        <f>IF(K105=0,"NA",(+J105-K105)/K105)</f>
        <v>NA</v>
      </c>
    </row>
    <row r="106" spans="1:12">
      <c r="A106" s="43">
        <v>156</v>
      </c>
      <c r="C106" s="1" t="str">
        <f>'New Year-Full Year'!C216</f>
        <v>Facilities Fund Reserve</v>
      </c>
      <c r="E106" s="38">
        <f>+'New Year-Full Year'!P216</f>
        <v>0</v>
      </c>
      <c r="F106" s="38">
        <f>+'New Year-Full Year'!Q216</f>
        <v>0</v>
      </c>
      <c r="G106" s="38">
        <f t="shared" si="29"/>
        <v>0</v>
      </c>
      <c r="H106" s="4" t="str">
        <f t="shared" si="30"/>
        <v>NA</v>
      </c>
      <c r="J106" s="38">
        <f>+'New Year-Full Year'!U216</f>
        <v>0</v>
      </c>
      <c r="K106" s="38">
        <f>+'New Year-Full Year'!V216</f>
        <v>0</v>
      </c>
      <c r="L106" s="4" t="str">
        <f t="shared" si="31"/>
        <v>NA</v>
      </c>
    </row>
    <row r="107" spans="1:12">
      <c r="A107" s="43">
        <v>157</v>
      </c>
      <c r="C107" s="1" t="str">
        <f>'New Year-Full Year'!C217</f>
        <v>Facilities Maintenance</v>
      </c>
      <c r="E107" s="38">
        <f>+'New Year-Full Year'!P217</f>
        <v>0</v>
      </c>
      <c r="F107" s="38">
        <f>+'New Year-Full Year'!Q217</f>
        <v>16</v>
      </c>
      <c r="G107" s="38">
        <f t="shared" si="29"/>
        <v>-16</v>
      </c>
      <c r="H107" s="4">
        <f t="shared" si="30"/>
        <v>-1</v>
      </c>
      <c r="J107" s="38">
        <f>+'New Year-Full Year'!U217</f>
        <v>0</v>
      </c>
      <c r="K107" s="38">
        <f>+'New Year-Full Year'!V217</f>
        <v>0</v>
      </c>
      <c r="L107" s="4" t="str">
        <f t="shared" si="31"/>
        <v>NA</v>
      </c>
    </row>
    <row r="108" spans="1:12">
      <c r="C108" s="1" t="s">
        <v>185</v>
      </c>
      <c r="E108" s="38">
        <f>+'New Year-Full Year'!P218</f>
        <v>0</v>
      </c>
      <c r="F108" s="38">
        <f>+'New Year-Full Year'!Q218</f>
        <v>0</v>
      </c>
      <c r="G108" s="38">
        <f t="shared" si="29"/>
        <v>0</v>
      </c>
      <c r="H108" s="4" t="str">
        <f t="shared" si="30"/>
        <v>NA</v>
      </c>
      <c r="J108" s="38">
        <f>+'New Year-Full Year'!U218</f>
        <v>0</v>
      </c>
      <c r="K108" s="38">
        <f>+'New Year-Full Year'!V218</f>
        <v>0</v>
      </c>
      <c r="L108" s="4" t="str">
        <f t="shared" si="31"/>
        <v>NA</v>
      </c>
    </row>
    <row r="109" spans="1:12" hidden="1">
      <c r="A109" s="43">
        <v>158</v>
      </c>
      <c r="C109" s="1" t="str">
        <f>'New Year-Full Year'!C219</f>
        <v>Line of Credit Payment</v>
      </c>
      <c r="E109" s="38">
        <f>+'New Year-Full Year'!P219</f>
        <v>0</v>
      </c>
      <c r="F109" s="38">
        <f>+'New Year-Full Year'!Q219</f>
        <v>0</v>
      </c>
      <c r="G109" s="38"/>
      <c r="H109" s="4" t="str">
        <f t="shared" si="30"/>
        <v>NA</v>
      </c>
      <c r="J109" s="38">
        <f>+'New Year-Full Year'!U219</f>
        <v>0</v>
      </c>
      <c r="K109" s="38">
        <f>+'New Year-Full Year'!V219</f>
        <v>0</v>
      </c>
      <c r="L109" s="4" t="str">
        <f t="shared" si="31"/>
        <v>NA</v>
      </c>
    </row>
    <row r="110" spans="1:12" s="2" customFormat="1">
      <c r="A110" s="43">
        <v>159</v>
      </c>
      <c r="B110" s="29" t="str">
        <f>+'New Year-Full Year'!B220</f>
        <v>Total Restricted Funds</v>
      </c>
      <c r="C110" s="29"/>
      <c r="D110" s="29"/>
      <c r="E110" s="29">
        <f>SUM(E104:E109)</f>
        <v>-8185</v>
      </c>
      <c r="F110" s="29">
        <f>SUM(F104:F109)</f>
        <v>16</v>
      </c>
      <c r="G110" s="29">
        <f>SUM(G104:G109)</f>
        <v>-8201</v>
      </c>
      <c r="H110" s="30">
        <f t="shared" si="30"/>
        <v>-512.5625</v>
      </c>
      <c r="J110" s="29">
        <f>SUM(J104:J109)</f>
        <v>0</v>
      </c>
      <c r="K110" s="29">
        <f>SUM(K104:K109)</f>
        <v>0</v>
      </c>
      <c r="L110" s="30" t="str">
        <f t="shared" si="31"/>
        <v>NA</v>
      </c>
    </row>
    <row r="111" spans="1:12" ht="7.5" customHeight="1">
      <c r="A111" s="43">
        <v>160</v>
      </c>
      <c r="H111" s="39"/>
    </row>
    <row r="112" spans="1:12">
      <c r="A112" s="43">
        <v>161</v>
      </c>
      <c r="B112" s="31" t="str">
        <f>+'New Year-Full Year'!B222</f>
        <v>TOTAL EXPENSES</v>
      </c>
      <c r="C112" s="32"/>
      <c r="D112" s="32"/>
      <c r="E112" s="31">
        <f>+E71+E100+E110+E26+E79</f>
        <v>476500</v>
      </c>
      <c r="F112" s="31">
        <f>+F71+F100+F110+F26+F79</f>
        <v>500500</v>
      </c>
      <c r="G112" s="31">
        <f>+G71+G100+G110+G26+G79</f>
        <v>-24000</v>
      </c>
      <c r="H112" s="33">
        <f>IF(F112=0,"NA",(+E112-F112)/F112)</f>
        <v>-4.7952047952047952E-2</v>
      </c>
      <c r="J112" s="31">
        <f>+J71+J100+J110+J26+J79</f>
        <v>367238.95999999996</v>
      </c>
      <c r="K112" s="31">
        <f>+K71+K100+K110+K26+K79</f>
        <v>451547.92</v>
      </c>
      <c r="L112" s="33">
        <f>IF(K112=0,"NA",(+J112-K112)/K112)</f>
        <v>-0.18671099182562956</v>
      </c>
    </row>
    <row r="113" spans="1:12">
      <c r="A113" s="43">
        <v>162</v>
      </c>
      <c r="B113" s="31" t="str">
        <f>+'New Year-Full Year'!B223</f>
        <v>Income less Expense</v>
      </c>
      <c r="C113" s="32"/>
      <c r="D113" s="32"/>
      <c r="E113" s="31">
        <f>ROUND(+E23-E112,0)</f>
        <v>22000</v>
      </c>
      <c r="F113" s="31">
        <f>ROUND(+F23-F112,0)</f>
        <v>0</v>
      </c>
      <c r="G113" s="31">
        <f>ROUND(+G23-G112,0)</f>
        <v>22000</v>
      </c>
      <c r="H113" s="33" t="str">
        <f>IF(F113=0,"NA",(+E113-F113)/F113)</f>
        <v>NA</v>
      </c>
      <c r="J113" s="31">
        <f>ROUND(+J23-J112,0)</f>
        <v>75860</v>
      </c>
      <c r="K113" s="31">
        <f>ROUND(+K23-K112,0)</f>
        <v>1229</v>
      </c>
      <c r="L113" s="33">
        <f>IF(K113=0,"NA",(+J113-K113)/K113)</f>
        <v>60.724979658258746</v>
      </c>
    </row>
    <row r="114" spans="1:12" ht="7.25" customHeight="1" thickBot="1">
      <c r="H114" s="39"/>
    </row>
    <row r="115" spans="1:12">
      <c r="B115" s="105" t="str">
        <f>+'New Year-Full Year'!B225</f>
        <v>Operating Income (Envelope Giving)</v>
      </c>
      <c r="C115" s="106"/>
      <c r="D115" s="106"/>
      <c r="E115" s="122">
        <f>+E23-E21</f>
        <v>498500</v>
      </c>
      <c r="F115" s="122">
        <f>+F23-F21</f>
        <v>500500</v>
      </c>
      <c r="G115" s="122">
        <f>+G23-G21</f>
        <v>-2000</v>
      </c>
      <c r="H115" s="110">
        <f>IF(F115=0,"NA",(+E115-F115)/F115)</f>
        <v>-3.996003996003996E-3</v>
      </c>
      <c r="I115" s="107"/>
      <c r="J115" s="122">
        <f>+J23-J21</f>
        <v>443098.93</v>
      </c>
      <c r="K115" s="122">
        <f>+K23-K21</f>
        <v>452776.51</v>
      </c>
      <c r="L115" s="111">
        <f>IF(K115=0,"NA",(+J115-K115)/K115)</f>
        <v>-2.1373856165815705E-2</v>
      </c>
    </row>
    <row r="116" spans="1:12">
      <c r="B116" s="112" t="str">
        <f>+'New Year-Full Year'!B226</f>
        <v>Operating Expenses</v>
      </c>
      <c r="C116" s="100"/>
      <c r="D116" s="100"/>
      <c r="E116" s="123">
        <f>+E112-E110</f>
        <v>484685</v>
      </c>
      <c r="F116" s="123">
        <f>+F112-F110</f>
        <v>500484</v>
      </c>
      <c r="G116" s="123">
        <f>+G112-G110</f>
        <v>-15799</v>
      </c>
      <c r="H116" s="104">
        <f>IF(F116=0,"NA",(+E116-F116)/F116)</f>
        <v>-3.1567442715451442E-2</v>
      </c>
      <c r="I116" s="101"/>
      <c r="J116" s="123">
        <f>+J112-J110</f>
        <v>367238.95999999996</v>
      </c>
      <c r="K116" s="123">
        <f>+K112-K110</f>
        <v>451547.92</v>
      </c>
      <c r="L116" s="113">
        <f>IF(K116=0,"NA",(+J116-K116)/K116)</f>
        <v>-0.18671099182562956</v>
      </c>
    </row>
    <row r="117" spans="1:12" ht="15" thickBot="1">
      <c r="B117" s="114" t="str">
        <f>+'New Year-Full Year'!B227</f>
        <v>Net Operating Income/(Loss)</v>
      </c>
      <c r="C117" s="115"/>
      <c r="D117" s="115"/>
      <c r="E117" s="124">
        <f>+E115-E116</f>
        <v>13815</v>
      </c>
      <c r="F117" s="124">
        <f>+F115-F116</f>
        <v>16</v>
      </c>
      <c r="G117" s="124">
        <f>+G115-G116</f>
        <v>13799</v>
      </c>
      <c r="H117" s="120">
        <f>IF(F117=0,"NA",(+E117-F117)/F117)</f>
        <v>862.4375</v>
      </c>
      <c r="I117" s="117"/>
      <c r="J117" s="124">
        <f>+J115-J116</f>
        <v>75859.97000000003</v>
      </c>
      <c r="K117" s="124">
        <f>+K115-K116</f>
        <v>1228.5900000000256</v>
      </c>
      <c r="L117" s="121">
        <f>IF(K117=0,"NA",(+J117-K117)/K117)</f>
        <v>60.745553846277808</v>
      </c>
    </row>
    <row r="118" spans="1:12" ht="5" customHeight="1">
      <c r="H118" s="39"/>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AK275"/>
  <sheetViews>
    <sheetView showGridLines="0" topLeftCell="B3" workbookViewId="0">
      <pane xSplit="14" ySplit="2" topLeftCell="P27" activePane="bottomRight" state="frozen"/>
      <selection activeCell="I112" sqref="I112"/>
      <selection pane="topRight" activeCell="I112" sqref="I112"/>
      <selection pane="bottomLeft" activeCell="I112" sqref="I112"/>
      <selection pane="bottomRight" activeCell="P109" sqref="P109"/>
    </sheetView>
  </sheetViews>
  <sheetFormatPr defaultColWidth="9.08984375" defaultRowHeight="14.5" outlineLevelCol="2"/>
  <cols>
    <col min="1" max="1" width="4.453125" style="43" hidden="1" customWidth="1"/>
    <col min="2" max="2" width="4.36328125" style="2" customWidth="1"/>
    <col min="3" max="3" width="9.08984375" style="1"/>
    <col min="4" max="4" width="21.1796875" style="50" customWidth="1"/>
    <col min="5" max="5" width="11.54296875" style="79" hidden="1" customWidth="1" outlineLevel="1"/>
    <col min="6" max="6" width="11.36328125" style="39" hidden="1" customWidth="1" outlineLevel="1"/>
    <col min="7" max="7" width="8.6328125" style="39" hidden="1" customWidth="1" outlineLevel="1"/>
    <col min="8" max="8" width="10" style="39" hidden="1" customWidth="1" outlineLevel="1"/>
    <col min="9" max="9" width="10.6328125" style="39" hidden="1" customWidth="1" outlineLevel="2"/>
    <col min="10" max="10" width="8.08984375" style="39" hidden="1" customWidth="1" outlineLevel="2"/>
    <col min="11" max="11" width="10.36328125" style="39" hidden="1" customWidth="1" outlineLevel="2"/>
    <col min="12" max="12" width="7.08984375" style="39" hidden="1" customWidth="1" outlineLevel="2"/>
    <col min="13" max="14" width="8.36328125" style="39"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5" customWidth="1"/>
    <col min="25" max="25" width="58.6328125" style="36" hidden="1" customWidth="1"/>
    <col min="26" max="26" width="12.36328125" style="1" customWidth="1"/>
    <col min="27" max="27" width="13" style="1" customWidth="1" outlineLevel="1"/>
    <col min="28" max="29" width="9.08984375" style="1" customWidth="1" outlineLevel="1"/>
    <col min="30" max="37" width="14.6328125" style="1" customWidth="1" outlineLevel="1"/>
    <col min="38" max="16384" width="9.08984375" style="1"/>
  </cols>
  <sheetData>
    <row r="1" spans="1:37" ht="41.25" customHeight="1">
      <c r="B1" s="754" t="s">
        <v>87</v>
      </c>
      <c r="C1" s="754"/>
      <c r="D1" s="754"/>
      <c r="E1" s="754"/>
      <c r="F1" s="754"/>
      <c r="G1" s="754"/>
      <c r="H1" s="754"/>
      <c r="I1" s="754"/>
      <c r="J1" s="754"/>
      <c r="K1" s="754"/>
      <c r="L1" s="754"/>
      <c r="M1" s="754"/>
      <c r="N1" s="754"/>
      <c r="O1" s="754"/>
      <c r="P1" s="754"/>
      <c r="Q1" s="754"/>
      <c r="R1" s="754"/>
      <c r="S1" s="754"/>
      <c r="T1" s="754"/>
      <c r="U1" s="754"/>
      <c r="V1" s="754"/>
      <c r="W1" s="754"/>
      <c r="X1" s="754"/>
      <c r="Y1" s="1"/>
    </row>
    <row r="2" spans="1:37" ht="23.25" customHeight="1">
      <c r="P2" s="759" t="s">
        <v>86</v>
      </c>
      <c r="Q2" s="760"/>
      <c r="R2" s="760"/>
      <c r="S2" s="761"/>
      <c r="U2" s="785" t="str">
        <f>Bud_Yr-1&amp;" Year to Date (YTD)"</f>
        <v>2020 Year to Date (YTD)</v>
      </c>
      <c r="V2" s="786"/>
      <c r="W2" s="787"/>
    </row>
    <row r="3" spans="1:37" ht="27.65" customHeight="1">
      <c r="P3" s="794" t="str">
        <f>Bud_Yr&amp;" Budget"</f>
        <v>2021 Budget</v>
      </c>
      <c r="Q3" s="795" t="str">
        <f>Bud_Yr-1&amp;" Budget"</f>
        <v>2020 Budget</v>
      </c>
      <c r="R3" s="788" t="str">
        <f>Bud_Yr&amp;" Budget vs             "&amp;Bud_Yr-1&amp;" Budget"</f>
        <v>2021 Budget vs             2020 Budget</v>
      </c>
      <c r="S3" s="789"/>
      <c r="T3" s="50"/>
      <c r="U3" s="790" t="s">
        <v>529</v>
      </c>
      <c r="V3" s="792" t="s">
        <v>530</v>
      </c>
      <c r="W3" s="769" t="s">
        <v>85</v>
      </c>
      <c r="AD3" s="781" t="str">
        <f>Bud_Yr&amp;" Budget"</f>
        <v>2021 Budget</v>
      </c>
      <c r="AE3" s="782"/>
      <c r="AF3" s="782"/>
      <c r="AG3" s="783"/>
      <c r="AH3" s="781" t="str">
        <f>+U3</f>
        <v>Nov 2020 YTD Actual</v>
      </c>
      <c r="AI3" s="782"/>
      <c r="AJ3" s="782"/>
      <c r="AK3" s="783"/>
    </row>
    <row r="4" spans="1:37" s="2" customFormat="1">
      <c r="A4" s="44"/>
      <c r="D4" s="15"/>
      <c r="E4" s="80"/>
      <c r="F4" s="81"/>
      <c r="G4" s="81"/>
      <c r="H4" s="81"/>
      <c r="I4" s="81"/>
      <c r="J4" s="81"/>
      <c r="K4" s="81"/>
      <c r="L4" s="81"/>
      <c r="M4" s="81"/>
      <c r="N4" s="81"/>
      <c r="P4" s="781"/>
      <c r="Q4" s="782"/>
      <c r="R4" s="49" t="s">
        <v>113</v>
      </c>
      <c r="S4" s="51" t="s">
        <v>114</v>
      </c>
      <c r="U4" s="791"/>
      <c r="V4" s="793"/>
      <c r="W4" s="770"/>
      <c r="X4" s="56" t="str">
        <f>Bud_Yr&amp;" Budget Notes"</f>
        <v>2021 Budget Notes</v>
      </c>
      <c r="Y4" s="6" t="s">
        <v>115</v>
      </c>
      <c r="AD4" s="406" t="s">
        <v>429</v>
      </c>
      <c r="AE4" s="407" t="s">
        <v>322</v>
      </c>
      <c r="AF4" s="407" t="s">
        <v>323</v>
      </c>
      <c r="AG4" s="407" t="s">
        <v>324</v>
      </c>
      <c r="AH4" s="406" t="s">
        <v>429</v>
      </c>
      <c r="AI4" s="407" t="s">
        <v>322</v>
      </c>
      <c r="AJ4" s="407" t="s">
        <v>323</v>
      </c>
      <c r="AK4" s="407" t="s">
        <v>324</v>
      </c>
    </row>
    <row r="5" spans="1:37" s="2" customFormat="1" ht="18.5">
      <c r="A5" s="44"/>
      <c r="B5" s="7" t="s">
        <v>0</v>
      </c>
      <c r="D5" s="15"/>
      <c r="E5" s="80"/>
      <c r="F5" s="81"/>
      <c r="G5" s="81"/>
      <c r="H5" s="81"/>
      <c r="I5" s="81"/>
      <c r="J5" s="81"/>
      <c r="K5" s="81"/>
      <c r="L5" s="81"/>
      <c r="M5" s="81"/>
      <c r="N5" s="81"/>
      <c r="P5" s="8"/>
      <c r="Q5" s="9"/>
      <c r="R5" s="40"/>
      <c r="S5" s="9"/>
      <c r="U5" s="9"/>
      <c r="V5" s="9"/>
      <c r="W5" s="9"/>
      <c r="X5" s="71"/>
      <c r="Y5" s="57"/>
    </row>
    <row r="6" spans="1:37">
      <c r="A6" s="43">
        <v>1</v>
      </c>
      <c r="B6" s="2" t="s">
        <v>1</v>
      </c>
      <c r="X6" s="72"/>
      <c r="Y6" s="70"/>
    </row>
    <row r="7" spans="1:37" ht="29">
      <c r="A7" s="43">
        <v>2</v>
      </c>
      <c r="C7" s="419" t="s">
        <v>1</v>
      </c>
      <c r="D7" s="420"/>
      <c r="E7" s="421"/>
      <c r="F7" s="422"/>
      <c r="G7" s="422"/>
      <c r="H7" s="422"/>
      <c r="I7" s="422"/>
      <c r="J7" s="422"/>
      <c r="K7" s="422"/>
      <c r="L7" s="422"/>
      <c r="M7" s="422"/>
      <c r="N7" s="422"/>
      <c r="O7" s="419"/>
      <c r="P7" s="427">
        <f>475000+2000</f>
        <v>477000</v>
      </c>
      <c r="Q7" s="423">
        <v>477000</v>
      </c>
      <c r="R7" s="424">
        <f t="shared" ref="R7:R14" si="0">+P7-Q7</f>
        <v>0</v>
      </c>
      <c r="S7" s="425">
        <f t="shared" ref="S7:S15" si="1">IF(Q7=0,"NA",(+P7-Q7)/Q7)</f>
        <v>0</v>
      </c>
      <c r="T7" s="419"/>
      <c r="U7" s="423">
        <v>432376.74</v>
      </c>
      <c r="V7" s="423">
        <v>435193.14</v>
      </c>
      <c r="W7" s="425">
        <f t="shared" ref="W7:W15" si="2">IF(V7=0,"NA",(+U7-V7)/V7)</f>
        <v>-6.4716093640630988E-3</v>
      </c>
      <c r="X7" s="690" t="s">
        <v>515</v>
      </c>
      <c r="Y7" s="58" t="s">
        <v>123</v>
      </c>
    </row>
    <row r="8" spans="1:37">
      <c r="C8" s="419"/>
      <c r="D8" s="420"/>
      <c r="E8" s="421"/>
      <c r="F8" s="422"/>
      <c r="G8" s="422"/>
      <c r="H8" s="422"/>
      <c r="I8" s="422"/>
      <c r="J8" s="422"/>
      <c r="K8" s="422"/>
      <c r="L8" s="422"/>
      <c r="M8" s="422"/>
      <c r="N8" s="422"/>
      <c r="O8" s="419"/>
      <c r="P8" s="427"/>
      <c r="Q8" s="423"/>
      <c r="R8" s="424"/>
      <c r="S8" s="425"/>
      <c r="T8" s="419"/>
      <c r="U8" s="423"/>
      <c r="V8" s="423"/>
      <c r="W8" s="425"/>
      <c r="X8" s="693" t="s">
        <v>502</v>
      </c>
      <c r="Y8" s="58"/>
    </row>
    <row r="9" spans="1:37" ht="29">
      <c r="C9" s="243"/>
      <c r="D9" s="255"/>
      <c r="E9" s="256"/>
      <c r="F9" s="257"/>
      <c r="G9" s="257"/>
      <c r="H9" s="257"/>
      <c r="I9" s="257"/>
      <c r="J9" s="257"/>
      <c r="K9" s="257"/>
      <c r="L9" s="257"/>
      <c r="M9" s="257"/>
      <c r="N9" s="257"/>
      <c r="O9" s="243"/>
      <c r="P9" s="268"/>
      <c r="Q9" s="240"/>
      <c r="R9" s="241"/>
      <c r="S9" s="242"/>
      <c r="T9" s="243"/>
      <c r="U9" s="240"/>
      <c r="V9" s="240"/>
      <c r="W9" s="242"/>
      <c r="X9" s="244" t="s">
        <v>486</v>
      </c>
      <c r="Y9" s="58"/>
    </row>
    <row r="10" spans="1:37">
      <c r="C10" s="248" t="s">
        <v>431</v>
      </c>
      <c r="D10" s="258"/>
      <c r="E10" s="259"/>
      <c r="F10" s="260"/>
      <c r="G10" s="260"/>
      <c r="H10" s="260"/>
      <c r="I10" s="260"/>
      <c r="J10" s="260"/>
      <c r="K10" s="260"/>
      <c r="L10" s="260"/>
      <c r="M10" s="260"/>
      <c r="N10" s="260"/>
      <c r="O10" s="248"/>
      <c r="P10" s="245">
        <v>0</v>
      </c>
      <c r="Q10" s="245">
        <v>0</v>
      </c>
      <c r="R10" s="246">
        <f t="shared" si="0"/>
        <v>0</v>
      </c>
      <c r="S10" s="247" t="str">
        <f t="shared" si="1"/>
        <v>NA</v>
      </c>
      <c r="T10" s="248"/>
      <c r="U10" s="245">
        <v>0</v>
      </c>
      <c r="V10" s="245">
        <v>0</v>
      </c>
      <c r="W10" s="247" t="str">
        <f>IF(V10=0,"NA",(+U10-V10)/V10)</f>
        <v>NA</v>
      </c>
      <c r="X10" s="244"/>
      <c r="Y10" s="58"/>
    </row>
    <row r="11" spans="1:37">
      <c r="A11" s="43">
        <v>4</v>
      </c>
      <c r="C11" s="248" t="s">
        <v>2</v>
      </c>
      <c r="D11" s="258"/>
      <c r="E11" s="259"/>
      <c r="F11" s="260"/>
      <c r="G11" s="260"/>
      <c r="H11" s="260"/>
      <c r="I11" s="260"/>
      <c r="J11" s="260"/>
      <c r="K11" s="260"/>
      <c r="L11" s="260"/>
      <c r="M11" s="260"/>
      <c r="N11" s="260"/>
      <c r="O11" s="248"/>
      <c r="P11" s="245">
        <v>3500</v>
      </c>
      <c r="Q11" s="245">
        <v>3500</v>
      </c>
      <c r="R11" s="246">
        <f t="shared" si="0"/>
        <v>0</v>
      </c>
      <c r="S11" s="247">
        <f t="shared" si="1"/>
        <v>0</v>
      </c>
      <c r="T11" s="248"/>
      <c r="U11" s="245">
        <v>2619.6999999999998</v>
      </c>
      <c r="V11" s="245">
        <v>3500</v>
      </c>
      <c r="W11" s="247">
        <f t="shared" si="2"/>
        <v>-0.25151428571428575</v>
      </c>
      <c r="X11" s="249"/>
      <c r="Y11" s="58"/>
    </row>
    <row r="12" spans="1:37">
      <c r="A12" s="43">
        <v>5</v>
      </c>
      <c r="C12" s="248" t="s">
        <v>3</v>
      </c>
      <c r="D12" s="258"/>
      <c r="E12" s="259"/>
      <c r="F12" s="260"/>
      <c r="G12" s="260"/>
      <c r="H12" s="260"/>
      <c r="I12" s="260"/>
      <c r="J12" s="260"/>
      <c r="K12" s="260"/>
      <c r="L12" s="260"/>
      <c r="M12" s="260"/>
      <c r="N12" s="260"/>
      <c r="O12" s="248"/>
      <c r="P12" s="245">
        <v>1000</v>
      </c>
      <c r="Q12" s="245">
        <v>1000</v>
      </c>
      <c r="R12" s="246">
        <f t="shared" si="0"/>
        <v>0</v>
      </c>
      <c r="S12" s="247">
        <f t="shared" si="1"/>
        <v>0</v>
      </c>
      <c r="T12" s="248"/>
      <c r="U12" s="245">
        <v>170</v>
      </c>
      <c r="V12" s="245">
        <v>1000</v>
      </c>
      <c r="W12" s="247">
        <f t="shared" si="2"/>
        <v>-0.83</v>
      </c>
      <c r="X12" s="249"/>
      <c r="Y12" s="58"/>
    </row>
    <row r="13" spans="1:37">
      <c r="A13" s="43">
        <v>6</v>
      </c>
      <c r="C13" s="248" t="s">
        <v>4</v>
      </c>
      <c r="D13" s="258"/>
      <c r="E13" s="259"/>
      <c r="F13" s="260"/>
      <c r="G13" s="260"/>
      <c r="H13" s="260"/>
      <c r="I13" s="260"/>
      <c r="J13" s="260"/>
      <c r="K13" s="260"/>
      <c r="L13" s="260"/>
      <c r="M13" s="260"/>
      <c r="N13" s="260"/>
      <c r="O13" s="248"/>
      <c r="P13" s="245">
        <v>5000</v>
      </c>
      <c r="Q13" s="245">
        <v>5000</v>
      </c>
      <c r="R13" s="246">
        <f t="shared" si="0"/>
        <v>0</v>
      </c>
      <c r="S13" s="247">
        <f t="shared" si="1"/>
        <v>0</v>
      </c>
      <c r="T13" s="248"/>
      <c r="U13" s="245">
        <v>0</v>
      </c>
      <c r="V13" s="245">
        <v>0</v>
      </c>
      <c r="W13" s="247" t="str">
        <f t="shared" si="2"/>
        <v>NA</v>
      </c>
      <c r="X13" s="249"/>
      <c r="Y13" s="58"/>
    </row>
    <row r="14" spans="1:37">
      <c r="A14" s="43">
        <v>7</v>
      </c>
      <c r="C14" s="248" t="s">
        <v>5</v>
      </c>
      <c r="D14" s="258"/>
      <c r="E14" s="259"/>
      <c r="F14" s="260"/>
      <c r="G14" s="260"/>
      <c r="H14" s="260"/>
      <c r="I14" s="260"/>
      <c r="J14" s="260"/>
      <c r="K14" s="260"/>
      <c r="L14" s="260"/>
      <c r="M14" s="260"/>
      <c r="N14" s="260"/>
      <c r="O14" s="248"/>
      <c r="P14" s="245">
        <v>3000</v>
      </c>
      <c r="Q14" s="245">
        <v>3000</v>
      </c>
      <c r="R14" s="246">
        <f t="shared" si="0"/>
        <v>0</v>
      </c>
      <c r="S14" s="247">
        <f t="shared" si="1"/>
        <v>0</v>
      </c>
      <c r="T14" s="248"/>
      <c r="U14" s="245">
        <v>1739</v>
      </c>
      <c r="V14" s="245">
        <v>3000</v>
      </c>
      <c r="W14" s="247">
        <f t="shared" si="2"/>
        <v>-0.42033333333333334</v>
      </c>
      <c r="X14" s="249"/>
      <c r="Y14" s="58"/>
    </row>
    <row r="15" spans="1:37">
      <c r="A15" s="43">
        <v>8</v>
      </c>
      <c r="B15" s="10" t="s">
        <v>6</v>
      </c>
      <c r="C15" s="10"/>
      <c r="D15" s="10"/>
      <c r="E15" s="82"/>
      <c r="F15" s="82"/>
      <c r="G15" s="82"/>
      <c r="H15" s="82"/>
      <c r="I15" s="82"/>
      <c r="J15" s="82"/>
      <c r="K15" s="82"/>
      <c r="L15" s="82"/>
      <c r="M15" s="82"/>
      <c r="N15" s="82"/>
      <c r="O15" s="10"/>
      <c r="P15" s="10">
        <f>SUM(P7:P14)</f>
        <v>489500</v>
      </c>
      <c r="Q15" s="10">
        <f>SUM(Q7:Q14)</f>
        <v>489500</v>
      </c>
      <c r="R15" s="10">
        <f>SUM(R7:R14)</f>
        <v>0</v>
      </c>
      <c r="S15" s="11">
        <f t="shared" si="1"/>
        <v>0</v>
      </c>
      <c r="U15" s="10">
        <f>SUM(U7:U14)</f>
        <v>436905.44</v>
      </c>
      <c r="V15" s="10">
        <f>SUM(V7:V14)</f>
        <v>442693.14</v>
      </c>
      <c r="W15" s="11">
        <f t="shared" si="2"/>
        <v>-1.3073841623116209E-2</v>
      </c>
      <c r="X15" s="73"/>
      <c r="Y15" s="59"/>
    </row>
    <row r="16" spans="1:37" ht="5.25" customHeight="1">
      <c r="A16" s="43">
        <v>9</v>
      </c>
      <c r="S16" s="5"/>
      <c r="X16" s="73"/>
      <c r="Y16" s="59"/>
    </row>
    <row r="17" spans="1:26">
      <c r="A17" s="43">
        <v>10</v>
      </c>
      <c r="B17" s="2" t="s">
        <v>7</v>
      </c>
      <c r="S17" s="5"/>
      <c r="X17" s="73"/>
      <c r="Y17" s="59"/>
    </row>
    <row r="18" spans="1:26">
      <c r="A18" s="43">
        <v>11</v>
      </c>
      <c r="C18" s="243" t="s">
        <v>413</v>
      </c>
      <c r="D18" s="255"/>
      <c r="E18" s="256"/>
      <c r="F18" s="257"/>
      <c r="G18" s="257"/>
      <c r="H18" s="257"/>
      <c r="I18" s="257"/>
      <c r="J18" s="257"/>
      <c r="K18" s="257"/>
      <c r="L18" s="257"/>
      <c r="M18" s="257"/>
      <c r="N18" s="257"/>
      <c r="O18" s="243"/>
      <c r="P18" s="240">
        <v>9000</v>
      </c>
      <c r="Q18" s="240">
        <v>11000</v>
      </c>
      <c r="R18" s="241">
        <f>+P18-Q18</f>
        <v>-2000</v>
      </c>
      <c r="S18" s="242">
        <f t="shared" ref="S18:S24" si="3">IF(Q18=0,"NA",(+P18-Q18)/Q18)</f>
        <v>-0.18181818181818182</v>
      </c>
      <c r="T18" s="243"/>
      <c r="U18" s="240">
        <f>2298.99+3893.08</f>
        <v>6192.07</v>
      </c>
      <c r="V18" s="240">
        <v>10083.370000000001</v>
      </c>
      <c r="W18" s="242">
        <f t="shared" ref="W18:W24" si="4">IF(V18=0,"NA",(+U18-V18)/V18)</f>
        <v>-0.38591264626806321</v>
      </c>
      <c r="X18" s="244"/>
      <c r="Y18" s="58"/>
    </row>
    <row r="19" spans="1:26" hidden="1">
      <c r="A19" s="43">
        <v>12</v>
      </c>
      <c r="C19" s="248" t="s">
        <v>7</v>
      </c>
      <c r="D19" s="258"/>
      <c r="E19" s="259"/>
      <c r="F19" s="260"/>
      <c r="G19" s="260"/>
      <c r="H19" s="260"/>
      <c r="I19" s="260"/>
      <c r="J19" s="260"/>
      <c r="K19" s="260"/>
      <c r="L19" s="260"/>
      <c r="M19" s="260"/>
      <c r="N19" s="260"/>
      <c r="O19" s="248"/>
      <c r="P19" s="245">
        <v>0</v>
      </c>
      <c r="Q19" s="245">
        <v>0</v>
      </c>
      <c r="R19" s="246">
        <f>+P19-Q19</f>
        <v>0</v>
      </c>
      <c r="S19" s="247" t="str">
        <f t="shared" si="3"/>
        <v>NA</v>
      </c>
      <c r="T19" s="248"/>
      <c r="U19" s="245">
        <v>0</v>
      </c>
      <c r="V19" s="245">
        <v>0</v>
      </c>
      <c r="W19" s="247" t="str">
        <f t="shared" si="4"/>
        <v>NA</v>
      </c>
      <c r="X19" s="264"/>
      <c r="Y19" s="59"/>
      <c r="Z19" s="1">
        <v>0</v>
      </c>
    </row>
    <row r="20" spans="1:26" hidden="1">
      <c r="A20" s="43">
        <v>13</v>
      </c>
      <c r="C20" s="248" t="s">
        <v>8</v>
      </c>
      <c r="D20" s="258"/>
      <c r="E20" s="259"/>
      <c r="F20" s="260"/>
      <c r="G20" s="260"/>
      <c r="H20" s="260"/>
      <c r="I20" s="260"/>
      <c r="J20" s="260"/>
      <c r="K20" s="260"/>
      <c r="L20" s="260"/>
      <c r="M20" s="260"/>
      <c r="N20" s="260"/>
      <c r="O20" s="248"/>
      <c r="P20" s="245">
        <v>0</v>
      </c>
      <c r="Q20" s="245">
        <v>0</v>
      </c>
      <c r="R20" s="246">
        <f>+P20-Q20</f>
        <v>0</v>
      </c>
      <c r="S20" s="247" t="str">
        <f t="shared" si="3"/>
        <v>NA</v>
      </c>
      <c r="T20" s="248"/>
      <c r="U20" s="245">
        <v>0</v>
      </c>
      <c r="V20" s="245">
        <v>0</v>
      </c>
      <c r="W20" s="247" t="str">
        <f t="shared" si="4"/>
        <v>NA</v>
      </c>
      <c r="X20" s="264"/>
      <c r="Y20" s="59"/>
      <c r="Z20" s="1">
        <v>0</v>
      </c>
    </row>
    <row r="21" spans="1:26">
      <c r="A21" s="43">
        <v>14</v>
      </c>
      <c r="C21" s="248" t="s">
        <v>10</v>
      </c>
      <c r="D21" s="258"/>
      <c r="E21" s="259"/>
      <c r="F21" s="260"/>
      <c r="G21" s="260"/>
      <c r="H21" s="260"/>
      <c r="I21" s="260"/>
      <c r="J21" s="260"/>
      <c r="K21" s="260"/>
      <c r="L21" s="260"/>
      <c r="M21" s="260"/>
      <c r="N21" s="260"/>
      <c r="O21" s="248"/>
      <c r="P21" s="245">
        <v>0</v>
      </c>
      <c r="Q21" s="245">
        <v>0</v>
      </c>
      <c r="R21" s="246">
        <f>+P21-Q21</f>
        <v>0</v>
      </c>
      <c r="S21" s="247" t="str">
        <f t="shared" si="3"/>
        <v>NA</v>
      </c>
      <c r="T21" s="248"/>
      <c r="U21" s="245">
        <v>1.42</v>
      </c>
      <c r="V21" s="245">
        <v>0</v>
      </c>
      <c r="W21" s="247" t="str">
        <f t="shared" si="4"/>
        <v>NA</v>
      </c>
      <c r="X21" s="264"/>
      <c r="Y21" s="59"/>
    </row>
    <row r="22" spans="1:26" hidden="1">
      <c r="A22" s="43">
        <v>15</v>
      </c>
      <c r="C22" s="253" t="s">
        <v>95</v>
      </c>
      <c r="D22" s="261"/>
      <c r="E22" s="262"/>
      <c r="F22" s="263"/>
      <c r="G22" s="263"/>
      <c r="H22" s="263"/>
      <c r="I22" s="263"/>
      <c r="J22" s="263"/>
      <c r="K22" s="263"/>
      <c r="L22" s="263"/>
      <c r="M22" s="263"/>
      <c r="N22" s="263"/>
      <c r="O22" s="253"/>
      <c r="P22" s="250">
        <v>0</v>
      </c>
      <c r="Q22" s="250">
        <v>0</v>
      </c>
      <c r="R22" s="251">
        <f>+P22-Q22</f>
        <v>0</v>
      </c>
      <c r="S22" s="252" t="str">
        <f t="shared" si="3"/>
        <v>NA</v>
      </c>
      <c r="T22" s="253"/>
      <c r="U22" s="250">
        <v>0</v>
      </c>
      <c r="V22" s="250">
        <v>0</v>
      </c>
      <c r="W22" s="252" t="str">
        <f t="shared" si="4"/>
        <v>NA</v>
      </c>
      <c r="X22" s="265"/>
      <c r="Y22" s="59"/>
      <c r="Z22" s="1">
        <v>11000</v>
      </c>
    </row>
    <row r="23" spans="1:26">
      <c r="A23" s="43">
        <v>16</v>
      </c>
      <c r="B23" s="10" t="s">
        <v>9</v>
      </c>
      <c r="C23" s="10"/>
      <c r="D23" s="10"/>
      <c r="E23" s="82"/>
      <c r="F23" s="82"/>
      <c r="G23" s="82"/>
      <c r="H23" s="82"/>
      <c r="I23" s="82"/>
      <c r="J23" s="82"/>
      <c r="K23" s="82"/>
      <c r="L23" s="82"/>
      <c r="M23" s="82"/>
      <c r="N23" s="82"/>
      <c r="O23" s="10"/>
      <c r="P23" s="10">
        <f>SUM(P18:P22)</f>
        <v>9000</v>
      </c>
      <c r="Q23" s="10">
        <f>SUM(Q18:Q22)</f>
        <v>11000</v>
      </c>
      <c r="R23" s="10">
        <f>SUM(R18:R22)</f>
        <v>-2000</v>
      </c>
      <c r="S23" s="11">
        <f t="shared" si="3"/>
        <v>-0.18181818181818182</v>
      </c>
      <c r="U23" s="10">
        <f>SUM(U18:U22)</f>
        <v>6193.49</v>
      </c>
      <c r="V23" s="10">
        <f>SUM(V18:V22)</f>
        <v>10083.370000000001</v>
      </c>
      <c r="W23" s="11">
        <f t="shared" si="4"/>
        <v>-0.38577182033387653</v>
      </c>
      <c r="X23" s="73"/>
      <c r="Y23" s="59"/>
    </row>
    <row r="24" spans="1:26">
      <c r="A24" s="43">
        <v>17</v>
      </c>
      <c r="B24" s="10" t="s">
        <v>11</v>
      </c>
      <c r="C24" s="10"/>
      <c r="D24" s="10"/>
      <c r="E24" s="82"/>
      <c r="F24" s="82"/>
      <c r="G24" s="82"/>
      <c r="H24" s="82"/>
      <c r="I24" s="82"/>
      <c r="J24" s="82"/>
      <c r="K24" s="82"/>
      <c r="L24" s="82"/>
      <c r="M24" s="82"/>
      <c r="N24" s="82"/>
      <c r="O24" s="10"/>
      <c r="P24" s="10">
        <f>+P15+P23</f>
        <v>498500</v>
      </c>
      <c r="Q24" s="10">
        <f>+Q15+Q23</f>
        <v>500500</v>
      </c>
      <c r="R24" s="10">
        <f>+R15+R23</f>
        <v>-2000</v>
      </c>
      <c r="S24" s="11">
        <f t="shared" si="3"/>
        <v>-3.996003996003996E-3</v>
      </c>
      <c r="U24" s="10">
        <f>+U15+U23</f>
        <v>443098.93</v>
      </c>
      <c r="V24" s="10">
        <f>+V15+V23</f>
        <v>452776.51</v>
      </c>
      <c r="W24" s="11">
        <f t="shared" si="4"/>
        <v>-2.1373856165815705E-2</v>
      </c>
      <c r="X24" s="73"/>
      <c r="Y24" s="59"/>
    </row>
    <row r="25" spans="1:26" ht="6" customHeight="1">
      <c r="A25" s="43">
        <v>18</v>
      </c>
      <c r="S25" s="5"/>
      <c r="X25" s="73"/>
      <c r="Y25" s="59"/>
    </row>
    <row r="26" spans="1:26" ht="18.5">
      <c r="A26" s="43">
        <v>19</v>
      </c>
      <c r="B26" s="7" t="s">
        <v>12</v>
      </c>
      <c r="S26" s="5"/>
      <c r="X26" s="73"/>
      <c r="Y26" s="59"/>
    </row>
    <row r="27" spans="1:26" ht="18.5">
      <c r="B27" s="7" t="s">
        <v>92</v>
      </c>
      <c r="S27" s="39"/>
      <c r="W27" s="39"/>
      <c r="X27" s="73"/>
      <c r="Y27" s="59"/>
    </row>
    <row r="28" spans="1:26" ht="18.5">
      <c r="B28" s="7"/>
      <c r="C28" s="243" t="s">
        <v>417</v>
      </c>
      <c r="D28" s="255"/>
      <c r="E28" s="256"/>
      <c r="F28" s="257"/>
      <c r="G28" s="257"/>
      <c r="H28" s="257"/>
      <c r="I28" s="257"/>
      <c r="J28" s="257"/>
      <c r="K28" s="257"/>
      <c r="L28" s="257"/>
      <c r="M28" s="257"/>
      <c r="N28" s="257"/>
      <c r="O28" s="243"/>
      <c r="P28" s="268">
        <f>28630+40040-39880</f>
        <v>28790</v>
      </c>
      <c r="Q28" s="268">
        <v>28790</v>
      </c>
      <c r="R28" s="241">
        <f t="shared" ref="R28:R38" si="5">+P28-Q28</f>
        <v>0</v>
      </c>
      <c r="S28" s="242">
        <f t="shared" ref="S28:S38" si="6">IF(Q28=0,"NA",(+P28-Q28)/Q28)</f>
        <v>0</v>
      </c>
      <c r="T28" s="243"/>
      <c r="U28" s="240">
        <v>27890.87</v>
      </c>
      <c r="V28" s="240">
        <v>26390.87</v>
      </c>
      <c r="W28" s="242">
        <f t="shared" ref="W28:W38" si="7">IF(V28=0,"NA",(+U28-V28)/V28)</f>
        <v>5.6837838237238862E-2</v>
      </c>
      <c r="X28" s="244" t="s">
        <v>476</v>
      </c>
      <c r="Y28" s="59"/>
    </row>
    <row r="29" spans="1:26" ht="18.5">
      <c r="B29" s="7"/>
      <c r="C29" s="248" t="s">
        <v>418</v>
      </c>
      <c r="D29" s="258"/>
      <c r="E29" s="259"/>
      <c r="F29" s="260"/>
      <c r="G29" s="260"/>
      <c r="H29" s="260"/>
      <c r="I29" s="260"/>
      <c r="J29" s="260"/>
      <c r="K29" s="260"/>
      <c r="L29" s="260"/>
      <c r="M29" s="260"/>
      <c r="N29" s="260"/>
      <c r="O29" s="248"/>
      <c r="P29" s="266">
        <v>6000</v>
      </c>
      <c r="Q29" s="266">
        <v>6000</v>
      </c>
      <c r="R29" s="241">
        <f t="shared" si="5"/>
        <v>0</v>
      </c>
      <c r="S29" s="242">
        <f t="shared" si="6"/>
        <v>0</v>
      </c>
      <c r="T29" s="243"/>
      <c r="U29" s="240">
        <f>1762.5+2737.5</f>
        <v>4500</v>
      </c>
      <c r="V29" s="240">
        <f>1762.5+2737.5</f>
        <v>4500</v>
      </c>
      <c r="W29" s="242">
        <f t="shared" si="7"/>
        <v>0</v>
      </c>
      <c r="X29" s="699" t="s">
        <v>522</v>
      </c>
      <c r="Y29" s="59"/>
    </row>
    <row r="30" spans="1:26" ht="18.5">
      <c r="B30" s="7"/>
      <c r="C30" s="248" t="s">
        <v>419</v>
      </c>
      <c r="D30" s="258"/>
      <c r="E30" s="259"/>
      <c r="F30" s="260"/>
      <c r="G30" s="260"/>
      <c r="H30" s="260"/>
      <c r="I30" s="260"/>
      <c r="J30" s="260"/>
      <c r="K30" s="260"/>
      <c r="L30" s="260"/>
      <c r="M30" s="260"/>
      <c r="N30" s="260"/>
      <c r="O30" s="248"/>
      <c r="P30" s="266">
        <v>500</v>
      </c>
      <c r="Q30" s="266">
        <v>500</v>
      </c>
      <c r="R30" s="241">
        <f t="shared" si="5"/>
        <v>0</v>
      </c>
      <c r="S30" s="242">
        <f t="shared" si="6"/>
        <v>0</v>
      </c>
      <c r="T30" s="243"/>
      <c r="U30" s="240">
        <v>375</v>
      </c>
      <c r="V30" s="240">
        <v>375</v>
      </c>
      <c r="W30" s="242">
        <f t="shared" si="7"/>
        <v>0</v>
      </c>
      <c r="X30" s="244" t="s">
        <v>477</v>
      </c>
      <c r="Y30" s="59"/>
    </row>
    <row r="31" spans="1:26" ht="18.5">
      <c r="B31" s="7"/>
      <c r="C31" s="248" t="s">
        <v>427</v>
      </c>
      <c r="D31" s="258"/>
      <c r="E31" s="259"/>
      <c r="F31" s="260"/>
      <c r="G31" s="260"/>
      <c r="H31" s="260"/>
      <c r="I31" s="260"/>
      <c r="J31" s="260"/>
      <c r="K31" s="260"/>
      <c r="L31" s="260"/>
      <c r="M31" s="260"/>
      <c r="N31" s="260"/>
      <c r="O31" s="248"/>
      <c r="P31" s="266">
        <v>1000</v>
      </c>
      <c r="Q31" s="266">
        <v>1000</v>
      </c>
      <c r="R31" s="241">
        <f t="shared" si="5"/>
        <v>0</v>
      </c>
      <c r="S31" s="242">
        <f t="shared" si="6"/>
        <v>0</v>
      </c>
      <c r="T31" s="243"/>
      <c r="U31" s="240">
        <v>750</v>
      </c>
      <c r="V31" s="240">
        <v>750</v>
      </c>
      <c r="W31" s="242">
        <f t="shared" si="7"/>
        <v>0</v>
      </c>
      <c r="X31" s="244" t="s">
        <v>479</v>
      </c>
      <c r="Y31" s="59"/>
    </row>
    <row r="32" spans="1:26" ht="18.5">
      <c r="B32" s="7"/>
      <c r="C32" s="248" t="s">
        <v>420</v>
      </c>
      <c r="D32" s="258"/>
      <c r="E32" s="259"/>
      <c r="F32" s="260"/>
      <c r="G32" s="260"/>
      <c r="H32" s="260"/>
      <c r="I32" s="260"/>
      <c r="J32" s="260"/>
      <c r="K32" s="260"/>
      <c r="L32" s="260"/>
      <c r="M32" s="260"/>
      <c r="N32" s="260"/>
      <c r="O32" s="248"/>
      <c r="P32" s="266">
        <v>750</v>
      </c>
      <c r="Q32" s="266">
        <v>750</v>
      </c>
      <c r="R32" s="241">
        <f t="shared" si="5"/>
        <v>0</v>
      </c>
      <c r="S32" s="242">
        <f t="shared" si="6"/>
        <v>0</v>
      </c>
      <c r="T32" s="243"/>
      <c r="U32" s="240">
        <v>562.5</v>
      </c>
      <c r="V32" s="240">
        <v>562.5</v>
      </c>
      <c r="W32" s="242">
        <f t="shared" si="7"/>
        <v>0</v>
      </c>
      <c r="X32" s="244"/>
      <c r="Y32" s="59"/>
    </row>
    <row r="33" spans="1:37" ht="18.5">
      <c r="B33" s="7"/>
      <c r="C33" s="248" t="s">
        <v>421</v>
      </c>
      <c r="D33" s="258"/>
      <c r="E33" s="259"/>
      <c r="F33" s="260"/>
      <c r="G33" s="260"/>
      <c r="H33" s="260"/>
      <c r="I33" s="260"/>
      <c r="J33" s="260"/>
      <c r="K33" s="260"/>
      <c r="L33" s="260"/>
      <c r="M33" s="260"/>
      <c r="N33" s="260"/>
      <c r="O33" s="248"/>
      <c r="P33" s="266">
        <v>500</v>
      </c>
      <c r="Q33" s="266">
        <v>500</v>
      </c>
      <c r="R33" s="241">
        <f t="shared" si="5"/>
        <v>0</v>
      </c>
      <c r="S33" s="242">
        <f t="shared" si="6"/>
        <v>0</v>
      </c>
      <c r="T33" s="243"/>
      <c r="U33" s="240">
        <v>375</v>
      </c>
      <c r="V33" s="240">
        <v>375</v>
      </c>
      <c r="W33" s="242">
        <f t="shared" si="7"/>
        <v>0</v>
      </c>
      <c r="X33" s="244"/>
      <c r="Y33" s="59"/>
    </row>
    <row r="34" spans="1:37" ht="18.5">
      <c r="B34" s="7"/>
      <c r="C34" s="248" t="s">
        <v>422</v>
      </c>
      <c r="D34" s="258"/>
      <c r="E34" s="259"/>
      <c r="F34" s="260"/>
      <c r="G34" s="260"/>
      <c r="H34" s="260"/>
      <c r="I34" s="260"/>
      <c r="J34" s="260"/>
      <c r="K34" s="260"/>
      <c r="L34" s="260"/>
      <c r="M34" s="260"/>
      <c r="N34" s="260"/>
      <c r="O34" s="248"/>
      <c r="P34" s="266">
        <v>1000</v>
      </c>
      <c r="Q34" s="266">
        <v>1000</v>
      </c>
      <c r="R34" s="241">
        <f t="shared" si="5"/>
        <v>0</v>
      </c>
      <c r="S34" s="242">
        <f t="shared" si="6"/>
        <v>0</v>
      </c>
      <c r="T34" s="243"/>
      <c r="U34" s="240">
        <v>750</v>
      </c>
      <c r="V34" s="240">
        <v>750</v>
      </c>
      <c r="W34" s="242">
        <f t="shared" si="7"/>
        <v>0</v>
      </c>
      <c r="X34" s="244" t="s">
        <v>478</v>
      </c>
      <c r="Y34" s="59"/>
    </row>
    <row r="35" spans="1:37" ht="18.5">
      <c r="B35" s="7"/>
      <c r="C35" s="248" t="s">
        <v>423</v>
      </c>
      <c r="D35" s="258"/>
      <c r="E35" s="259"/>
      <c r="F35" s="260"/>
      <c r="G35" s="260"/>
      <c r="H35" s="260"/>
      <c r="I35" s="260"/>
      <c r="J35" s="260"/>
      <c r="K35" s="260"/>
      <c r="L35" s="260"/>
      <c r="M35" s="260"/>
      <c r="N35" s="260"/>
      <c r="O35" s="248"/>
      <c r="P35" s="266">
        <v>1000</v>
      </c>
      <c r="Q35" s="266">
        <v>1000</v>
      </c>
      <c r="R35" s="241">
        <f t="shared" si="5"/>
        <v>0</v>
      </c>
      <c r="S35" s="242">
        <f t="shared" si="6"/>
        <v>0</v>
      </c>
      <c r="T35" s="243"/>
      <c r="U35" s="240">
        <v>750</v>
      </c>
      <c r="V35" s="240">
        <v>750</v>
      </c>
      <c r="W35" s="242">
        <f t="shared" si="7"/>
        <v>0</v>
      </c>
      <c r="X35" s="244" t="s">
        <v>477</v>
      </c>
      <c r="Y35" s="59"/>
    </row>
    <row r="36" spans="1:37" ht="18.5">
      <c r="B36" s="7"/>
      <c r="C36" s="248" t="s">
        <v>424</v>
      </c>
      <c r="D36" s="258"/>
      <c r="E36" s="259"/>
      <c r="F36" s="260"/>
      <c r="G36" s="260"/>
      <c r="H36" s="260"/>
      <c r="I36" s="260"/>
      <c r="J36" s="260"/>
      <c r="K36" s="260"/>
      <c r="L36" s="260"/>
      <c r="M36" s="260"/>
      <c r="N36" s="260"/>
      <c r="O36" s="248"/>
      <c r="P36" s="266">
        <v>500</v>
      </c>
      <c r="Q36" s="266">
        <v>500</v>
      </c>
      <c r="R36" s="241">
        <f t="shared" si="5"/>
        <v>0</v>
      </c>
      <c r="S36" s="242">
        <f t="shared" si="6"/>
        <v>0</v>
      </c>
      <c r="T36" s="243"/>
      <c r="U36" s="240">
        <v>375</v>
      </c>
      <c r="V36" s="240">
        <v>375</v>
      </c>
      <c r="W36" s="242">
        <f t="shared" si="7"/>
        <v>0</v>
      </c>
      <c r="X36" s="244" t="s">
        <v>478</v>
      </c>
      <c r="Y36" s="59"/>
    </row>
    <row r="37" spans="1:37" ht="19.5" customHeight="1">
      <c r="B37" s="7"/>
      <c r="C37" s="248" t="s">
        <v>480</v>
      </c>
      <c r="D37" s="258"/>
      <c r="E37" s="259"/>
      <c r="F37" s="260"/>
      <c r="G37" s="260"/>
      <c r="H37" s="260"/>
      <c r="I37" s="260"/>
      <c r="J37" s="260"/>
      <c r="K37" s="260"/>
      <c r="L37" s="260"/>
      <c r="M37" s="260"/>
      <c r="N37" s="260"/>
      <c r="O37" s="248"/>
      <c r="P37" s="266">
        <v>0</v>
      </c>
      <c r="Q37" s="266">
        <v>0</v>
      </c>
      <c r="R37" s="241">
        <f t="shared" si="5"/>
        <v>0</v>
      </c>
      <c r="S37" s="242" t="str">
        <f t="shared" si="6"/>
        <v>NA</v>
      </c>
      <c r="T37" s="243"/>
      <c r="U37" s="240">
        <v>0</v>
      </c>
      <c r="V37" s="240">
        <v>0</v>
      </c>
      <c r="W37" s="242" t="str">
        <f t="shared" si="7"/>
        <v>NA</v>
      </c>
      <c r="X37" s="244" t="s">
        <v>477</v>
      </c>
      <c r="Y37" s="59"/>
    </row>
    <row r="38" spans="1:37" ht="18.5" hidden="1">
      <c r="B38" s="7"/>
      <c r="C38" s="248" t="s">
        <v>425</v>
      </c>
      <c r="D38" s="258"/>
      <c r="E38" s="259"/>
      <c r="F38" s="260"/>
      <c r="G38" s="260"/>
      <c r="H38" s="260"/>
      <c r="I38" s="260"/>
      <c r="J38" s="260"/>
      <c r="K38" s="260"/>
      <c r="L38" s="260"/>
      <c r="M38" s="260"/>
      <c r="N38" s="260"/>
      <c r="O38" s="248"/>
      <c r="P38" s="266">
        <v>0</v>
      </c>
      <c r="Q38" s="266">
        <v>0</v>
      </c>
      <c r="R38" s="241">
        <f t="shared" si="5"/>
        <v>0</v>
      </c>
      <c r="S38" s="242" t="str">
        <f t="shared" si="6"/>
        <v>NA</v>
      </c>
      <c r="T38" s="243"/>
      <c r="U38" s="240"/>
      <c r="V38" s="240"/>
      <c r="W38" s="242" t="str">
        <f t="shared" si="7"/>
        <v>NA</v>
      </c>
      <c r="X38" s="244"/>
      <c r="Y38" s="59"/>
      <c r="Z38" s="1">
        <v>500500</v>
      </c>
    </row>
    <row r="39" spans="1:37" hidden="1">
      <c r="A39" s="43">
        <v>21</v>
      </c>
      <c r="C39" s="1" t="s">
        <v>13</v>
      </c>
      <c r="P39" s="1">
        <f>+P24</f>
        <v>498500</v>
      </c>
      <c r="Q39" s="1">
        <f>+Q24</f>
        <v>500500</v>
      </c>
      <c r="R39" s="38">
        <f>+P39-Q39</f>
        <v>-2000</v>
      </c>
      <c r="S39" s="5"/>
      <c r="X39" s="73"/>
      <c r="Y39" s="59"/>
      <c r="Z39" s="1">
        <v>0</v>
      </c>
    </row>
    <row r="40" spans="1:37" hidden="1">
      <c r="A40" s="43">
        <v>23</v>
      </c>
      <c r="C40" s="1" t="s">
        <v>14</v>
      </c>
      <c r="P40" s="38">
        <f>-P219</f>
        <v>0</v>
      </c>
      <c r="Q40" s="38">
        <f>-Q219</f>
        <v>0</v>
      </c>
      <c r="R40" s="38">
        <f>+P40-Q40</f>
        <v>0</v>
      </c>
      <c r="S40" s="5"/>
      <c r="U40" s="38"/>
      <c r="V40" s="38"/>
      <c r="X40" s="73"/>
      <c r="Y40" s="59"/>
      <c r="Z40" s="1">
        <v>0</v>
      </c>
    </row>
    <row r="41" spans="1:37" hidden="1">
      <c r="A41" s="43">
        <v>24</v>
      </c>
      <c r="C41" s="1" t="s">
        <v>15</v>
      </c>
      <c r="P41" s="38">
        <f>-P208</f>
        <v>0</v>
      </c>
      <c r="Q41" s="38">
        <f>-Q208</f>
        <v>0</v>
      </c>
      <c r="R41" s="38">
        <f>+P41-Q41</f>
        <v>0</v>
      </c>
      <c r="S41" s="5"/>
      <c r="U41" s="38"/>
      <c r="V41" s="38"/>
      <c r="X41" s="73"/>
      <c r="Y41" s="59"/>
      <c r="Z41" s="1">
        <v>500500</v>
      </c>
    </row>
    <row r="42" spans="1:37" hidden="1">
      <c r="A42" s="43">
        <v>25</v>
      </c>
      <c r="C42" s="1" t="s">
        <v>111</v>
      </c>
      <c r="P42" s="1">
        <f>SUM(P39:P41)</f>
        <v>498500</v>
      </c>
      <c r="Q42" s="1">
        <f>SUM(Q39:Q41)</f>
        <v>500500</v>
      </c>
      <c r="R42" s="38">
        <f>+P42-Q42</f>
        <v>-2000</v>
      </c>
      <c r="S42" s="5"/>
      <c r="X42" s="73"/>
      <c r="Y42" s="59"/>
      <c r="Z42" s="1">
        <v>40040</v>
      </c>
    </row>
    <row r="43" spans="1:37" s="2" customFormat="1" ht="29">
      <c r="A43" s="43">
        <v>26</v>
      </c>
      <c r="B43" s="585">
        <v>0.08</v>
      </c>
      <c r="C43" s="13" t="str">
        <f>ROUND((P43/P24),3)*100&amp;"% Benevolence"</f>
        <v>8% Benevolence</v>
      </c>
      <c r="D43" s="13"/>
      <c r="E43" s="83"/>
      <c r="F43" s="84"/>
      <c r="G43" s="84"/>
      <c r="H43" s="84"/>
      <c r="I43" s="84"/>
      <c r="J43" s="84"/>
      <c r="K43" s="84"/>
      <c r="L43" s="84"/>
      <c r="M43" s="84"/>
      <c r="N43" s="84"/>
      <c r="O43" s="12"/>
      <c r="P43" s="12">
        <f>SUM(P28:P38)</f>
        <v>40040</v>
      </c>
      <c r="Q43" s="12">
        <f>SUM(Q28:Q38)</f>
        <v>40040</v>
      </c>
      <c r="R43" s="12">
        <f t="shared" ref="R43" si="8">+P43-Q43</f>
        <v>0</v>
      </c>
      <c r="S43" s="14">
        <f>IF(Q43=0,"NA",(+P43-Q43)/Q43)</f>
        <v>0</v>
      </c>
      <c r="T43" s="1"/>
      <c r="U43" s="605">
        <f>SUM(U28:U38)</f>
        <v>36328.369999999995</v>
      </c>
      <c r="V43" s="605">
        <f>SUM(V28:V38)</f>
        <v>34828.369999999995</v>
      </c>
      <c r="W43" s="14">
        <f>IF(V43=0,"NA",(+U43-V43)/V43)</f>
        <v>4.3068337679885688E-2</v>
      </c>
      <c r="X43" s="64" t="s">
        <v>396</v>
      </c>
      <c r="Y43" s="60"/>
      <c r="Z43" s="2" t="s">
        <v>474</v>
      </c>
      <c r="AF43" s="1">
        <f>+$P43</f>
        <v>40040</v>
      </c>
      <c r="AG43" s="1"/>
      <c r="AJ43" s="1">
        <f>+$U43</f>
        <v>36328.369999999995</v>
      </c>
      <c r="AK43" s="1"/>
    </row>
    <row r="44" spans="1:37" s="2" customFormat="1" ht="6.75" customHeight="1">
      <c r="A44" s="43">
        <v>27</v>
      </c>
      <c r="B44" s="15"/>
      <c r="C44" s="16"/>
      <c r="D44" s="15"/>
      <c r="E44" s="80"/>
      <c r="F44" s="80"/>
      <c r="G44" s="80"/>
      <c r="H44" s="80"/>
      <c r="I44" s="80"/>
      <c r="J44" s="80"/>
      <c r="K44" s="80"/>
      <c r="L44" s="80"/>
      <c r="M44" s="80"/>
      <c r="N44" s="80"/>
      <c r="O44" s="15"/>
      <c r="P44" s="1" t="str">
        <f>IF(SUM(P$28:P$38)-P$43=0,"","ERROR")</f>
        <v/>
      </c>
      <c r="Q44" s="1" t="str">
        <f>IF(SUM(Q$28:Q$38)-Q$43=0,"","ERROR")</f>
        <v/>
      </c>
      <c r="R44" s="15"/>
      <c r="S44" s="18"/>
      <c r="T44" s="1"/>
      <c r="U44" s="1"/>
      <c r="V44" s="1"/>
      <c r="W44" s="18"/>
      <c r="X44" s="74"/>
      <c r="Y44" s="61"/>
    </row>
    <row r="45" spans="1:37" s="2" customFormat="1" ht="18.5">
      <c r="A45" s="43">
        <v>28</v>
      </c>
      <c r="B45" s="19" t="s">
        <v>62</v>
      </c>
      <c r="C45" s="16"/>
      <c r="D45" s="15"/>
      <c r="E45" s="80"/>
      <c r="F45" s="80"/>
      <c r="G45" s="80"/>
      <c r="H45" s="80"/>
      <c r="I45" s="80"/>
      <c r="J45" s="80"/>
      <c r="K45" s="80"/>
      <c r="L45" s="80"/>
      <c r="M45" s="80"/>
      <c r="N45" s="80"/>
      <c r="O45" s="15"/>
      <c r="P45" s="604"/>
      <c r="Q45" s="17"/>
      <c r="R45" s="15"/>
      <c r="S45" s="18"/>
      <c r="T45" s="1"/>
      <c r="U45" s="15"/>
      <c r="V45" s="15"/>
      <c r="W45" s="18"/>
      <c r="X45" s="74"/>
      <c r="Y45" s="61"/>
    </row>
    <row r="46" spans="1:37">
      <c r="A46" s="43">
        <v>29</v>
      </c>
      <c r="B46" s="2" t="s">
        <v>16</v>
      </c>
      <c r="S46" s="5"/>
      <c r="X46" s="73"/>
      <c r="Y46" s="59"/>
    </row>
    <row r="47" spans="1:37" ht="14" customHeight="1">
      <c r="A47" s="43">
        <v>30</v>
      </c>
      <c r="C47" s="419" t="s">
        <v>84</v>
      </c>
      <c r="D47" s="420"/>
      <c r="E47" s="421"/>
      <c r="F47" s="422"/>
      <c r="G47" s="422"/>
      <c r="H47" s="422"/>
      <c r="I47" s="422"/>
      <c r="J47" s="422"/>
      <c r="K47" s="422"/>
      <c r="L47" s="422"/>
      <c r="M47" s="422"/>
      <c r="N47" s="422"/>
      <c r="O47" s="419"/>
      <c r="P47" s="423">
        <v>2300</v>
      </c>
      <c r="Q47" s="423">
        <v>2300</v>
      </c>
      <c r="R47" s="424">
        <f t="shared" ref="R47:R59" si="9">+P47-Q47</f>
        <v>0</v>
      </c>
      <c r="S47" s="425">
        <f t="shared" ref="S47:S61" si="10">IF(Q47=0,"NA",(+P47-Q47)/Q47)</f>
        <v>0</v>
      </c>
      <c r="T47" s="419"/>
      <c r="U47" s="423">
        <v>1443.83</v>
      </c>
      <c r="V47" s="423">
        <v>2044.44</v>
      </c>
      <c r="W47" s="425">
        <f t="shared" ref="W47:W61" si="11">IF(V47=0,"NA",(+U47-V47)/V47)</f>
        <v>-0.29377726908101981</v>
      </c>
      <c r="X47" s="584" t="s">
        <v>481</v>
      </c>
      <c r="Y47" s="58" t="s">
        <v>125</v>
      </c>
      <c r="AE47" s="1">
        <f>+$P47</f>
        <v>2300</v>
      </c>
      <c r="AI47" s="1">
        <f>+$U47</f>
        <v>1443.83</v>
      </c>
    </row>
    <row r="48" spans="1:37" ht="29">
      <c r="C48" s="243"/>
      <c r="D48" s="255"/>
      <c r="E48" s="256"/>
      <c r="F48" s="257"/>
      <c r="G48" s="257"/>
      <c r="H48" s="257"/>
      <c r="I48" s="257"/>
      <c r="J48" s="257"/>
      <c r="K48" s="257"/>
      <c r="L48" s="257"/>
      <c r="M48" s="257"/>
      <c r="N48" s="257"/>
      <c r="O48" s="243"/>
      <c r="P48" s="240"/>
      <c r="Q48" s="240"/>
      <c r="R48" s="241"/>
      <c r="S48" s="242"/>
      <c r="T48" s="243"/>
      <c r="U48" s="240"/>
      <c r="V48" s="240"/>
      <c r="W48" s="242"/>
      <c r="X48" s="426" t="s">
        <v>329</v>
      </c>
      <c r="Y48" s="58"/>
    </row>
    <row r="49" spans="1:35" ht="14" customHeight="1">
      <c r="A49" s="43">
        <v>31</v>
      </c>
      <c r="C49" s="253" t="s">
        <v>17</v>
      </c>
      <c r="D49" s="261"/>
      <c r="E49" s="262"/>
      <c r="F49" s="263"/>
      <c r="G49" s="263"/>
      <c r="H49" s="263"/>
      <c r="I49" s="263"/>
      <c r="J49" s="263"/>
      <c r="K49" s="263"/>
      <c r="L49" s="263"/>
      <c r="M49" s="263"/>
      <c r="N49" s="263"/>
      <c r="O49" s="253"/>
      <c r="P49" s="250">
        <v>1000</v>
      </c>
      <c r="Q49" s="250">
        <v>1000</v>
      </c>
      <c r="R49" s="251">
        <f t="shared" si="9"/>
        <v>0</v>
      </c>
      <c r="S49" s="252">
        <f t="shared" si="10"/>
        <v>0</v>
      </c>
      <c r="T49" s="253"/>
      <c r="U49" s="250">
        <v>83.7</v>
      </c>
      <c r="V49" s="250">
        <v>1000</v>
      </c>
      <c r="W49" s="252">
        <f t="shared" si="11"/>
        <v>-0.9163</v>
      </c>
      <c r="X49" s="688" t="s">
        <v>484</v>
      </c>
      <c r="Y49" s="62" t="s">
        <v>126</v>
      </c>
      <c r="AE49" s="1">
        <f t="shared" ref="AE49:AE59" si="12">+$P49</f>
        <v>1000</v>
      </c>
      <c r="AI49" s="1">
        <f t="shared" ref="AI49:AI59" si="13">+$U49</f>
        <v>83.7</v>
      </c>
    </row>
    <row r="50" spans="1:35" ht="43.5">
      <c r="C50" s="243"/>
      <c r="D50" s="255"/>
      <c r="E50" s="256"/>
      <c r="F50" s="257"/>
      <c r="G50" s="257"/>
      <c r="H50" s="257"/>
      <c r="I50" s="257"/>
      <c r="J50" s="257"/>
      <c r="K50" s="257"/>
      <c r="L50" s="257"/>
      <c r="M50" s="257"/>
      <c r="N50" s="257"/>
      <c r="O50" s="243"/>
      <c r="P50" s="240"/>
      <c r="Q50" s="240"/>
      <c r="R50" s="241"/>
      <c r="S50" s="242"/>
      <c r="T50" s="243"/>
      <c r="U50" s="240"/>
      <c r="V50" s="240"/>
      <c r="W50" s="242"/>
      <c r="X50" s="426" t="s">
        <v>348</v>
      </c>
      <c r="Y50" s="62"/>
    </row>
    <row r="51" spans="1:35" ht="14" customHeight="1">
      <c r="A51" s="43">
        <v>32</v>
      </c>
      <c r="C51" s="253" t="s">
        <v>346</v>
      </c>
      <c r="D51" s="261"/>
      <c r="E51" s="262"/>
      <c r="F51" s="263"/>
      <c r="G51" s="263"/>
      <c r="H51" s="263"/>
      <c r="I51" s="263"/>
      <c r="J51" s="263"/>
      <c r="K51" s="263"/>
      <c r="L51" s="263"/>
      <c r="M51" s="263"/>
      <c r="N51" s="263"/>
      <c r="O51" s="253"/>
      <c r="P51" s="250">
        <v>250</v>
      </c>
      <c r="Q51" s="250">
        <v>250</v>
      </c>
      <c r="R51" s="251">
        <f t="shared" si="9"/>
        <v>0</v>
      </c>
      <c r="S51" s="252">
        <f t="shared" si="10"/>
        <v>0</v>
      </c>
      <c r="T51" s="253"/>
      <c r="U51" s="250">
        <v>0</v>
      </c>
      <c r="V51" s="250">
        <v>250</v>
      </c>
      <c r="W51" s="252">
        <f t="shared" si="11"/>
        <v>-1</v>
      </c>
      <c r="X51" s="687" t="s">
        <v>481</v>
      </c>
      <c r="Y51" s="62" t="s">
        <v>127</v>
      </c>
      <c r="AE51" s="1">
        <f t="shared" si="12"/>
        <v>250</v>
      </c>
      <c r="AI51" s="1">
        <f t="shared" si="13"/>
        <v>0</v>
      </c>
    </row>
    <row r="52" spans="1:35" ht="29">
      <c r="C52" s="243"/>
      <c r="D52" s="255"/>
      <c r="E52" s="256"/>
      <c r="F52" s="257"/>
      <c r="G52" s="257"/>
      <c r="H52" s="257"/>
      <c r="I52" s="257"/>
      <c r="J52" s="257"/>
      <c r="K52" s="257"/>
      <c r="L52" s="257"/>
      <c r="M52" s="257"/>
      <c r="N52" s="257"/>
      <c r="O52" s="243"/>
      <c r="P52" s="240"/>
      <c r="Q52" s="240"/>
      <c r="R52" s="241"/>
      <c r="S52" s="242"/>
      <c r="T52" s="243"/>
      <c r="U52" s="240"/>
      <c r="V52" s="240"/>
      <c r="W52" s="242"/>
      <c r="X52" s="426" t="s">
        <v>347</v>
      </c>
      <c r="Y52" s="62"/>
    </row>
    <row r="53" spans="1:35" ht="14" customHeight="1">
      <c r="A53" s="43">
        <v>33</v>
      </c>
      <c r="C53" s="253" t="s">
        <v>18</v>
      </c>
      <c r="D53" s="261"/>
      <c r="E53" s="262"/>
      <c r="F53" s="263"/>
      <c r="G53" s="263"/>
      <c r="H53" s="263"/>
      <c r="I53" s="263"/>
      <c r="J53" s="263"/>
      <c r="K53" s="263"/>
      <c r="L53" s="263"/>
      <c r="M53" s="263"/>
      <c r="N53" s="263"/>
      <c r="O53" s="253"/>
      <c r="P53" s="250">
        <v>300</v>
      </c>
      <c r="Q53" s="250">
        <v>300</v>
      </c>
      <c r="R53" s="251">
        <f t="shared" si="9"/>
        <v>0</v>
      </c>
      <c r="S53" s="252">
        <f t="shared" si="10"/>
        <v>0</v>
      </c>
      <c r="T53" s="253"/>
      <c r="U53" s="250">
        <v>0</v>
      </c>
      <c r="V53" s="250">
        <v>0</v>
      </c>
      <c r="W53" s="252" t="str">
        <f t="shared" si="11"/>
        <v>NA</v>
      </c>
      <c r="X53" s="687" t="s">
        <v>481</v>
      </c>
      <c r="Y53" s="58" t="s">
        <v>128</v>
      </c>
      <c r="AE53" s="1">
        <f t="shared" si="12"/>
        <v>300</v>
      </c>
      <c r="AI53" s="1">
        <f t="shared" si="13"/>
        <v>0</v>
      </c>
    </row>
    <row r="54" spans="1:35" ht="29">
      <c r="C54" s="243"/>
      <c r="D54" s="255"/>
      <c r="E54" s="256"/>
      <c r="F54" s="257"/>
      <c r="G54" s="257"/>
      <c r="H54" s="257"/>
      <c r="I54" s="257"/>
      <c r="J54" s="257"/>
      <c r="K54" s="257"/>
      <c r="L54" s="257"/>
      <c r="M54" s="257"/>
      <c r="N54" s="257"/>
      <c r="O54" s="243"/>
      <c r="P54" s="240"/>
      <c r="Q54" s="240"/>
      <c r="R54" s="241"/>
      <c r="S54" s="242"/>
      <c r="T54" s="243"/>
      <c r="U54" s="240"/>
      <c r="V54" s="240"/>
      <c r="W54" s="242"/>
      <c r="X54" s="244" t="s">
        <v>349</v>
      </c>
      <c r="Y54" s="58"/>
    </row>
    <row r="55" spans="1:35" ht="14.5" customHeight="1">
      <c r="A55" s="43">
        <v>34</v>
      </c>
      <c r="C55" s="253" t="s">
        <v>325</v>
      </c>
      <c r="D55" s="261"/>
      <c r="E55" s="262"/>
      <c r="F55" s="263"/>
      <c r="G55" s="263"/>
      <c r="H55" s="263"/>
      <c r="I55" s="263"/>
      <c r="J55" s="263"/>
      <c r="K55" s="263"/>
      <c r="L55" s="263"/>
      <c r="M55" s="263"/>
      <c r="N55" s="263"/>
      <c r="O55" s="253"/>
      <c r="P55" s="250">
        <v>200</v>
      </c>
      <c r="Q55" s="250">
        <v>200</v>
      </c>
      <c r="R55" s="251">
        <f t="shared" si="9"/>
        <v>0</v>
      </c>
      <c r="S55" s="252">
        <f t="shared" si="10"/>
        <v>0</v>
      </c>
      <c r="T55" s="253"/>
      <c r="U55" s="250">
        <v>76.92</v>
      </c>
      <c r="V55" s="250">
        <v>200</v>
      </c>
      <c r="W55" s="252">
        <f t="shared" si="11"/>
        <v>-0.61539999999999995</v>
      </c>
      <c r="X55" s="687" t="s">
        <v>481</v>
      </c>
      <c r="Y55" s="62" t="s">
        <v>129</v>
      </c>
      <c r="AE55" s="1">
        <f t="shared" si="12"/>
        <v>200</v>
      </c>
      <c r="AI55" s="1">
        <f t="shared" si="13"/>
        <v>76.92</v>
      </c>
    </row>
    <row r="56" spans="1:35" ht="14.5" customHeight="1">
      <c r="C56" s="243"/>
      <c r="D56" s="255"/>
      <c r="E56" s="256"/>
      <c r="F56" s="257"/>
      <c r="G56" s="257"/>
      <c r="H56" s="257"/>
      <c r="I56" s="257"/>
      <c r="J56" s="257"/>
      <c r="K56" s="257"/>
      <c r="L56" s="257"/>
      <c r="M56" s="257"/>
      <c r="N56" s="257"/>
      <c r="O56" s="243"/>
      <c r="P56" s="240"/>
      <c r="Q56" s="240"/>
      <c r="R56" s="241"/>
      <c r="S56" s="242"/>
      <c r="T56" s="243"/>
      <c r="U56" s="240"/>
      <c r="V56" s="240"/>
      <c r="W56" s="242"/>
      <c r="X56" s="244" t="s">
        <v>326</v>
      </c>
      <c r="Y56" s="62"/>
    </row>
    <row r="57" spans="1:35">
      <c r="C57" s="253" t="s">
        <v>108</v>
      </c>
      <c r="D57" s="261"/>
      <c r="E57" s="262"/>
      <c r="F57" s="263"/>
      <c r="G57" s="263"/>
      <c r="H57" s="263"/>
      <c r="I57" s="263"/>
      <c r="J57" s="263"/>
      <c r="K57" s="263"/>
      <c r="L57" s="263"/>
      <c r="M57" s="263"/>
      <c r="N57" s="263"/>
      <c r="O57" s="253"/>
      <c r="P57" s="250">
        <v>550</v>
      </c>
      <c r="Q57" s="250">
        <v>550</v>
      </c>
      <c r="R57" s="251">
        <f t="shared" si="9"/>
        <v>0</v>
      </c>
      <c r="S57" s="252">
        <f>IF(Q57=0,"NA",(+P57-Q57)/Q57)</f>
        <v>0</v>
      </c>
      <c r="T57" s="253"/>
      <c r="U57" s="250">
        <v>249.8</v>
      </c>
      <c r="V57" s="250">
        <v>504.13</v>
      </c>
      <c r="W57" s="252">
        <f>IF(V57=0,"NA",(+U57-V57)/V57)</f>
        <v>-0.50449288873901565</v>
      </c>
      <c r="X57" s="687" t="s">
        <v>481</v>
      </c>
      <c r="Y57" s="62" t="s">
        <v>130</v>
      </c>
      <c r="AE57" s="1">
        <f t="shared" si="12"/>
        <v>550</v>
      </c>
      <c r="AI57" s="1">
        <f t="shared" si="13"/>
        <v>249.8</v>
      </c>
    </row>
    <row r="58" spans="1:35" ht="29">
      <c r="C58" s="243"/>
      <c r="D58" s="255"/>
      <c r="E58" s="256"/>
      <c r="F58" s="257"/>
      <c r="G58" s="257"/>
      <c r="H58" s="257"/>
      <c r="I58" s="257"/>
      <c r="J58" s="257"/>
      <c r="K58" s="257"/>
      <c r="L58" s="257"/>
      <c r="M58" s="257"/>
      <c r="N58" s="257"/>
      <c r="O58" s="243"/>
      <c r="P58" s="240"/>
      <c r="Q58" s="240"/>
      <c r="R58" s="241"/>
      <c r="S58" s="242"/>
      <c r="T58" s="243"/>
      <c r="U58" s="240"/>
      <c r="V58" s="240"/>
      <c r="W58" s="242"/>
      <c r="X58" s="244" t="s">
        <v>482</v>
      </c>
      <c r="Y58" s="62"/>
    </row>
    <row r="59" spans="1:35" ht="14.5" customHeight="1">
      <c r="A59" s="43">
        <v>35</v>
      </c>
      <c r="C59" s="253" t="s">
        <v>88</v>
      </c>
      <c r="D59" s="261"/>
      <c r="E59" s="262"/>
      <c r="F59" s="263"/>
      <c r="G59" s="263"/>
      <c r="H59" s="263"/>
      <c r="I59" s="263"/>
      <c r="J59" s="263"/>
      <c r="K59" s="263"/>
      <c r="L59" s="263"/>
      <c r="M59" s="263"/>
      <c r="N59" s="263"/>
      <c r="O59" s="253"/>
      <c r="P59" s="250">
        <v>250</v>
      </c>
      <c r="Q59" s="250">
        <v>250</v>
      </c>
      <c r="R59" s="251">
        <f t="shared" si="9"/>
        <v>0</v>
      </c>
      <c r="S59" s="252">
        <f t="shared" si="10"/>
        <v>0</v>
      </c>
      <c r="T59" s="253"/>
      <c r="U59" s="250">
        <v>0</v>
      </c>
      <c r="V59" s="250">
        <v>229.13</v>
      </c>
      <c r="W59" s="252">
        <f t="shared" si="11"/>
        <v>-1</v>
      </c>
      <c r="X59" s="687" t="s">
        <v>481</v>
      </c>
      <c r="Y59" s="62" t="s">
        <v>131</v>
      </c>
      <c r="AE59" s="1">
        <f t="shared" si="12"/>
        <v>250</v>
      </c>
      <c r="AI59" s="1">
        <f t="shared" si="13"/>
        <v>0</v>
      </c>
    </row>
    <row r="60" spans="1:35" ht="14.5" customHeight="1">
      <c r="C60" s="419"/>
      <c r="D60" s="420"/>
      <c r="E60" s="421"/>
      <c r="F60" s="422"/>
      <c r="G60" s="422"/>
      <c r="H60" s="422"/>
      <c r="I60" s="422"/>
      <c r="J60" s="422"/>
      <c r="K60" s="422"/>
      <c r="L60" s="422"/>
      <c r="M60" s="422"/>
      <c r="N60" s="422"/>
      <c r="O60" s="419"/>
      <c r="P60" s="423"/>
      <c r="Q60" s="423"/>
      <c r="R60" s="424"/>
      <c r="S60" s="425"/>
      <c r="T60" s="419"/>
      <c r="U60" s="423"/>
      <c r="V60" s="423"/>
      <c r="W60" s="425"/>
      <c r="X60" s="244" t="s">
        <v>350</v>
      </c>
      <c r="Y60" s="62"/>
    </row>
    <row r="61" spans="1:35" s="2" customFormat="1">
      <c r="A61" s="43">
        <v>36</v>
      </c>
      <c r="B61" s="20" t="s">
        <v>20</v>
      </c>
      <c r="C61" s="20"/>
      <c r="D61" s="37"/>
      <c r="E61" s="85"/>
      <c r="F61" s="85"/>
      <c r="G61" s="85"/>
      <c r="H61" s="85"/>
      <c r="I61" s="85"/>
      <c r="J61" s="85"/>
      <c r="K61" s="85"/>
      <c r="L61" s="85"/>
      <c r="M61" s="85"/>
      <c r="N61" s="85"/>
      <c r="O61" s="37"/>
      <c r="P61" s="20">
        <f>SUM(P47:P59)</f>
        <v>4850</v>
      </c>
      <c r="Q61" s="37">
        <f>SUM(Q47:Q59)</f>
        <v>4850</v>
      </c>
      <c r="R61" s="37">
        <f>SUM(R47:R59)</f>
        <v>0</v>
      </c>
      <c r="S61" s="21">
        <f t="shared" si="10"/>
        <v>0</v>
      </c>
      <c r="U61" s="37">
        <f>SUM(U47:U59)</f>
        <v>1854.25</v>
      </c>
      <c r="V61" s="37">
        <f>SUM(V47:V59)</f>
        <v>4227.7</v>
      </c>
      <c r="W61" s="21">
        <f t="shared" si="11"/>
        <v>-0.56140454620715752</v>
      </c>
      <c r="X61" s="250"/>
      <c r="Y61" s="61"/>
    </row>
    <row r="62" spans="1:35" ht="6" customHeight="1">
      <c r="A62" s="43">
        <v>37</v>
      </c>
      <c r="S62" s="5"/>
      <c r="X62" s="73"/>
      <c r="Y62" s="59"/>
    </row>
    <row r="63" spans="1:35">
      <c r="A63" s="43">
        <v>40</v>
      </c>
      <c r="B63" s="2" t="s">
        <v>152</v>
      </c>
      <c r="S63" s="5"/>
      <c r="X63" s="73"/>
      <c r="Y63" s="59"/>
    </row>
    <row r="64" spans="1:35" ht="14" customHeight="1">
      <c r="A64" s="43">
        <v>41</v>
      </c>
      <c r="C64" s="419" t="s">
        <v>21</v>
      </c>
      <c r="D64" s="420"/>
      <c r="E64" s="421"/>
      <c r="F64" s="422"/>
      <c r="G64" s="422"/>
      <c r="H64" s="422"/>
      <c r="I64" s="422"/>
      <c r="J64" s="422"/>
      <c r="K64" s="422"/>
      <c r="L64" s="422"/>
      <c r="M64" s="422"/>
      <c r="N64" s="422"/>
      <c r="O64" s="419"/>
      <c r="P64" s="427">
        <v>3500</v>
      </c>
      <c r="Q64" s="427">
        <v>3500</v>
      </c>
      <c r="R64" s="424">
        <f>+P64-Q64</f>
        <v>0</v>
      </c>
      <c r="S64" s="425">
        <f>IF(Q64=0,"NA",(+P64-Q64)/Q64)</f>
        <v>0</v>
      </c>
      <c r="T64" s="419"/>
      <c r="U64" s="423">
        <v>2483.39</v>
      </c>
      <c r="V64" s="423">
        <v>3208.37</v>
      </c>
      <c r="W64" s="425">
        <f>IF(V64=0,"NA",(+U64-V64)/V64)</f>
        <v>-0.22596520974825224</v>
      </c>
      <c r="X64" s="584" t="s">
        <v>481</v>
      </c>
      <c r="Y64" s="62" t="s">
        <v>145</v>
      </c>
      <c r="AD64" s="1">
        <f>+$P64</f>
        <v>3500</v>
      </c>
      <c r="AH64" s="1">
        <f>+$U64</f>
        <v>2483.39</v>
      </c>
    </row>
    <row r="65" spans="1:35">
      <c r="C65" s="243"/>
      <c r="D65" s="255"/>
      <c r="E65" s="256"/>
      <c r="F65" s="257"/>
      <c r="G65" s="257"/>
      <c r="H65" s="257"/>
      <c r="I65" s="257"/>
      <c r="J65" s="257"/>
      <c r="K65" s="257"/>
      <c r="L65" s="257"/>
      <c r="M65" s="257"/>
      <c r="N65" s="257"/>
      <c r="O65" s="243"/>
      <c r="P65" s="240"/>
      <c r="Q65" s="240"/>
      <c r="R65" s="241"/>
      <c r="S65" s="242"/>
      <c r="T65" s="243"/>
      <c r="U65" s="240"/>
      <c r="V65" s="240"/>
      <c r="W65" s="242"/>
      <c r="X65" s="244" t="s">
        <v>483</v>
      </c>
      <c r="Y65" s="62"/>
    </row>
    <row r="66" spans="1:35">
      <c r="A66" s="43">
        <v>43</v>
      </c>
      <c r="C66" s="248" t="s">
        <v>22</v>
      </c>
      <c r="D66" s="258"/>
      <c r="E66" s="259"/>
      <c r="F66" s="260"/>
      <c r="G66" s="260"/>
      <c r="H66" s="260"/>
      <c r="I66" s="260"/>
      <c r="J66" s="260"/>
      <c r="K66" s="260"/>
      <c r="L66" s="260"/>
      <c r="M66" s="260"/>
      <c r="N66" s="260"/>
      <c r="O66" s="248"/>
      <c r="P66" s="245">
        <v>100</v>
      </c>
      <c r="Q66" s="245">
        <v>100</v>
      </c>
      <c r="R66" s="246">
        <f>+P66-Q66</f>
        <v>0</v>
      </c>
      <c r="S66" s="247">
        <f>IF(Q66=0,"NA",(+P66-Q66)/Q66)</f>
        <v>0</v>
      </c>
      <c r="T66" s="248"/>
      <c r="U66" s="245">
        <v>0</v>
      </c>
      <c r="V66" s="245">
        <v>91.63</v>
      </c>
      <c r="W66" s="247">
        <f>IF(V66=0,"NA",(+U66-V66)/V66)</f>
        <v>-1</v>
      </c>
      <c r="X66" s="689" t="s">
        <v>481</v>
      </c>
      <c r="Y66" s="58" t="s">
        <v>144</v>
      </c>
      <c r="AD66" s="1">
        <f>+$P66</f>
        <v>100</v>
      </c>
      <c r="AH66" s="1">
        <f>+$U66</f>
        <v>0</v>
      </c>
    </row>
    <row r="67" spans="1:35">
      <c r="A67" s="43">
        <v>44</v>
      </c>
      <c r="C67" s="248" t="s">
        <v>23</v>
      </c>
      <c r="D67" s="258"/>
      <c r="E67" s="259"/>
      <c r="F67" s="260"/>
      <c r="G67" s="260"/>
      <c r="H67" s="260"/>
      <c r="I67" s="260"/>
      <c r="J67" s="260"/>
      <c r="K67" s="260"/>
      <c r="L67" s="260"/>
      <c r="M67" s="260"/>
      <c r="N67" s="260"/>
      <c r="O67" s="248"/>
      <c r="P67" s="245">
        <v>200</v>
      </c>
      <c r="Q67" s="245">
        <v>200</v>
      </c>
      <c r="R67" s="246">
        <f>+P67-Q67</f>
        <v>0</v>
      </c>
      <c r="S67" s="247">
        <f>IF(Q67=0,"NA",(+P67-Q67)/Q67)</f>
        <v>0</v>
      </c>
      <c r="T67" s="248"/>
      <c r="U67" s="245">
        <v>97.5</v>
      </c>
      <c r="V67" s="245">
        <v>183.37</v>
      </c>
      <c r="W67" s="247">
        <f>IF(V67=0,"NA",(+U67-V67)/V67)</f>
        <v>-0.46828816054970823</v>
      </c>
      <c r="X67" s="689" t="s">
        <v>481</v>
      </c>
      <c r="Y67" s="59"/>
      <c r="AD67" s="1">
        <f>+$P67</f>
        <v>200</v>
      </c>
      <c r="AH67" s="1">
        <f>+$U67</f>
        <v>97.5</v>
      </c>
    </row>
    <row r="68" spans="1:35" s="2" customFormat="1">
      <c r="A68" s="43">
        <v>45</v>
      </c>
      <c r="B68" s="20" t="s">
        <v>153</v>
      </c>
      <c r="C68" s="20"/>
      <c r="D68" s="37"/>
      <c r="E68" s="85"/>
      <c r="F68" s="85"/>
      <c r="G68" s="85"/>
      <c r="H68" s="85"/>
      <c r="I68" s="85"/>
      <c r="J68" s="85"/>
      <c r="K68" s="85"/>
      <c r="L68" s="85"/>
      <c r="M68" s="85"/>
      <c r="N68" s="85"/>
      <c r="O68" s="37"/>
      <c r="P68" s="20">
        <f>SUM(P64:P67)</f>
        <v>3800</v>
      </c>
      <c r="Q68" s="37">
        <f>SUM(Q64:Q67)</f>
        <v>3800</v>
      </c>
      <c r="R68" s="37">
        <f>SUM(R64:R67)</f>
        <v>0</v>
      </c>
      <c r="S68" s="21">
        <f>IF(Q68=0,"NA",(+P68-Q68)/Q68)</f>
        <v>0</v>
      </c>
      <c r="U68" s="37">
        <f>SUM(U64:U67)</f>
        <v>2580.89</v>
      </c>
      <c r="V68" s="37">
        <f>SUM(V64:V67)</f>
        <v>3483.37</v>
      </c>
      <c r="W68" s="21">
        <f>IF(V68=0,"NA",(+U68-V68)/V68)</f>
        <v>-0.25908244028053296</v>
      </c>
      <c r="X68" s="73"/>
      <c r="Y68" s="59"/>
    </row>
    <row r="69" spans="1:35" ht="6.75" customHeight="1">
      <c r="A69" s="43">
        <v>46</v>
      </c>
      <c r="D69" s="1"/>
      <c r="E69" s="39"/>
      <c r="S69" s="5"/>
      <c r="X69" s="73"/>
      <c r="Y69" s="59"/>
    </row>
    <row r="70" spans="1:35" s="2" customFormat="1">
      <c r="A70" s="43">
        <v>51</v>
      </c>
      <c r="B70" s="20" t="s">
        <v>24</v>
      </c>
      <c r="C70" s="20"/>
      <c r="D70" s="37"/>
      <c r="E70" s="85"/>
      <c r="F70" s="85"/>
      <c r="G70" s="85"/>
      <c r="H70" s="85"/>
      <c r="I70" s="85"/>
      <c r="J70" s="85"/>
      <c r="K70" s="85"/>
      <c r="L70" s="85"/>
      <c r="M70" s="85"/>
      <c r="N70" s="85"/>
      <c r="O70" s="37"/>
      <c r="P70" s="48">
        <v>12800</v>
      </c>
      <c r="Q70" s="48">
        <v>12800</v>
      </c>
      <c r="R70" s="45">
        <f>+P70-Q70</f>
        <v>0</v>
      </c>
      <c r="S70" s="21">
        <f>IF(Q70=0,"NA",(+P70-Q70)/Q70)</f>
        <v>0</v>
      </c>
      <c r="U70" s="48">
        <v>3817.03</v>
      </c>
      <c r="V70" s="48">
        <v>11733.37</v>
      </c>
      <c r="W70" s="21">
        <f>IF(V70=0,"NA",(+U70-V70)/V70)</f>
        <v>-0.67468595978819379</v>
      </c>
      <c r="X70" s="584" t="s">
        <v>481</v>
      </c>
      <c r="Y70" s="58"/>
      <c r="AE70" s="1">
        <f>+$P70</f>
        <v>12800</v>
      </c>
      <c r="AI70" s="1">
        <f>+$U70</f>
        <v>3817.03</v>
      </c>
    </row>
    <row r="71" spans="1:35" s="2" customFormat="1" ht="29">
      <c r="A71" s="43"/>
      <c r="B71" s="37"/>
      <c r="C71" s="37"/>
      <c r="D71" s="37"/>
      <c r="E71" s="85"/>
      <c r="F71" s="85"/>
      <c r="G71" s="85"/>
      <c r="H71" s="85"/>
      <c r="I71" s="85"/>
      <c r="J71" s="85"/>
      <c r="K71" s="85"/>
      <c r="L71" s="85"/>
      <c r="M71" s="85"/>
      <c r="N71" s="85"/>
      <c r="O71" s="37"/>
      <c r="P71" s="48"/>
      <c r="Q71" s="48"/>
      <c r="R71" s="45"/>
      <c r="S71" s="21"/>
      <c r="U71" s="48"/>
      <c r="V71" s="48"/>
      <c r="W71" s="21"/>
      <c r="X71" s="62" t="s">
        <v>485</v>
      </c>
      <c r="Y71" s="58"/>
      <c r="AE71" s="1"/>
      <c r="AI71" s="1"/>
    </row>
    <row r="72" spans="1:35" s="2" customFormat="1" ht="43.5">
      <c r="A72" s="43"/>
      <c r="B72" s="37"/>
      <c r="C72" s="37"/>
      <c r="D72" s="37"/>
      <c r="E72" s="85"/>
      <c r="F72" s="85"/>
      <c r="G72" s="85"/>
      <c r="H72" s="85"/>
      <c r="I72" s="85"/>
      <c r="J72" s="85"/>
      <c r="K72" s="85"/>
      <c r="L72" s="85"/>
      <c r="M72" s="85"/>
      <c r="N72" s="85"/>
      <c r="O72" s="37"/>
      <c r="P72" s="48"/>
      <c r="Q72" s="48"/>
      <c r="R72" s="45"/>
      <c r="S72" s="21"/>
      <c r="U72" s="48"/>
      <c r="V72" s="48"/>
      <c r="W72" s="21"/>
      <c r="X72" s="62" t="s">
        <v>343</v>
      </c>
      <c r="Y72" s="58"/>
      <c r="AE72" s="1"/>
      <c r="AI72" s="1"/>
    </row>
    <row r="73" spans="1:35" ht="6.75" customHeight="1">
      <c r="A73" s="43">
        <v>52</v>
      </c>
      <c r="S73" s="5"/>
      <c r="X73" s="73"/>
      <c r="Y73" s="59"/>
    </row>
    <row r="74" spans="1:35">
      <c r="A74" s="43">
        <v>53</v>
      </c>
      <c r="B74" s="2" t="s">
        <v>94</v>
      </c>
      <c r="S74" s="5"/>
      <c r="X74" s="73"/>
      <c r="Y74" s="59"/>
    </row>
    <row r="75" spans="1:35">
      <c r="A75" s="43">
        <v>54</v>
      </c>
      <c r="C75" s="419" t="s">
        <v>96</v>
      </c>
      <c r="D75" s="420"/>
      <c r="E75" s="421"/>
      <c r="F75" s="422"/>
      <c r="G75" s="422"/>
      <c r="H75" s="422"/>
      <c r="I75" s="422"/>
      <c r="J75" s="422"/>
      <c r="K75" s="422"/>
      <c r="L75" s="422"/>
      <c r="M75" s="422"/>
      <c r="N75" s="422"/>
      <c r="O75" s="419"/>
      <c r="P75" s="423">
        <v>400</v>
      </c>
      <c r="Q75" s="423">
        <v>400</v>
      </c>
      <c r="R75" s="424">
        <f>+P75-Q75</f>
        <v>0</v>
      </c>
      <c r="S75" s="425">
        <f>IF(Q75=0,"NA",(+P75-Q75)/Q75)</f>
        <v>0</v>
      </c>
      <c r="T75" s="419"/>
      <c r="U75" s="423">
        <v>0</v>
      </c>
      <c r="V75" s="423">
        <v>366.63</v>
      </c>
      <c r="W75" s="425">
        <f>IF(V75=0,"NA",(+U75-V75)/V75)</f>
        <v>-1</v>
      </c>
      <c r="X75" s="584" t="s">
        <v>481</v>
      </c>
      <c r="Y75" s="58"/>
      <c r="AD75" s="1">
        <f>+$P75</f>
        <v>400</v>
      </c>
      <c r="AH75" s="1">
        <f>+$U75</f>
        <v>0</v>
      </c>
    </row>
    <row r="76" spans="1:35" ht="29">
      <c r="C76" s="243"/>
      <c r="D76" s="255"/>
      <c r="E76" s="256"/>
      <c r="F76" s="257"/>
      <c r="G76" s="257"/>
      <c r="H76" s="257"/>
      <c r="I76" s="257"/>
      <c r="J76" s="257"/>
      <c r="K76" s="257"/>
      <c r="L76" s="257"/>
      <c r="M76" s="257"/>
      <c r="N76" s="257"/>
      <c r="O76" s="243"/>
      <c r="P76" s="240"/>
      <c r="Q76" s="240"/>
      <c r="R76" s="241"/>
      <c r="S76" s="242"/>
      <c r="T76" s="243"/>
      <c r="U76" s="240"/>
      <c r="V76" s="240"/>
      <c r="W76" s="242"/>
      <c r="X76" s="244" t="s">
        <v>327</v>
      </c>
      <c r="Y76" s="58"/>
    </row>
    <row r="77" spans="1:35">
      <c r="A77" s="43">
        <v>55</v>
      </c>
      <c r="C77" s="253" t="s">
        <v>91</v>
      </c>
      <c r="D77" s="261"/>
      <c r="E77" s="262"/>
      <c r="F77" s="263"/>
      <c r="G77" s="263"/>
      <c r="H77" s="263"/>
      <c r="I77" s="263"/>
      <c r="J77" s="263"/>
      <c r="K77" s="263"/>
      <c r="L77" s="263"/>
      <c r="M77" s="263"/>
      <c r="N77" s="263"/>
      <c r="O77" s="253"/>
      <c r="P77" s="250">
        <v>150</v>
      </c>
      <c r="Q77" s="250">
        <v>150</v>
      </c>
      <c r="R77" s="251">
        <f>+P77-Q77</f>
        <v>0</v>
      </c>
      <c r="S77" s="252">
        <f>IF(Q77=0,"NA",(+P77-Q77)/Q77)</f>
        <v>0</v>
      </c>
      <c r="T77" s="253"/>
      <c r="U77" s="250">
        <v>25.7</v>
      </c>
      <c r="V77" s="250">
        <v>137.5</v>
      </c>
      <c r="W77" s="252">
        <f>IF(V77=0,"NA",(+U77-V77)/V77)</f>
        <v>-0.81309090909090909</v>
      </c>
      <c r="X77" s="687" t="s">
        <v>481</v>
      </c>
      <c r="Y77" s="58"/>
      <c r="AD77" s="1">
        <f>+$P77</f>
        <v>150</v>
      </c>
      <c r="AH77" s="1">
        <f>+$U77</f>
        <v>25.7</v>
      </c>
    </row>
    <row r="78" spans="1:35">
      <c r="C78" s="243"/>
      <c r="D78" s="255"/>
      <c r="E78" s="256"/>
      <c r="F78" s="257"/>
      <c r="G78" s="257"/>
      <c r="H78" s="257"/>
      <c r="I78" s="257"/>
      <c r="J78" s="257"/>
      <c r="K78" s="257"/>
      <c r="L78" s="257"/>
      <c r="M78" s="257"/>
      <c r="N78" s="257"/>
      <c r="O78" s="243"/>
      <c r="P78" s="240"/>
      <c r="Q78" s="240"/>
      <c r="R78" s="241"/>
      <c r="S78" s="242"/>
      <c r="T78" s="243"/>
      <c r="U78" s="240"/>
      <c r="V78" s="240"/>
      <c r="W78" s="242"/>
      <c r="X78" s="244" t="s">
        <v>487</v>
      </c>
      <c r="Y78" s="58"/>
    </row>
    <row r="79" spans="1:35" s="2" customFormat="1">
      <c r="A79" s="43">
        <v>56</v>
      </c>
      <c r="B79" s="20" t="s">
        <v>90</v>
      </c>
      <c r="C79" s="20"/>
      <c r="D79" s="37"/>
      <c r="E79" s="85"/>
      <c r="F79" s="85"/>
      <c r="G79" s="85"/>
      <c r="H79" s="85"/>
      <c r="I79" s="85"/>
      <c r="J79" s="85"/>
      <c r="K79" s="85"/>
      <c r="L79" s="85"/>
      <c r="M79" s="85"/>
      <c r="N79" s="85"/>
      <c r="O79" s="37"/>
      <c r="P79" s="20">
        <f>SUM(P75:P77)</f>
        <v>550</v>
      </c>
      <c r="Q79" s="37">
        <f>SUM(Q75:Q77)</f>
        <v>550</v>
      </c>
      <c r="R79" s="37">
        <f>SUM(R75:R77)</f>
        <v>0</v>
      </c>
      <c r="S79" s="21">
        <f>IF(Q79=0,"NA",(+P79-Q79)/Q79)</f>
        <v>0</v>
      </c>
      <c r="U79" s="37">
        <f>SUM(U75:U77)</f>
        <v>25.7</v>
      </c>
      <c r="V79" s="37">
        <f>SUM(V75:V77)</f>
        <v>504.13</v>
      </c>
      <c r="W79" s="21">
        <f>IF(V79=0,"NA",(+U79-V79)/V79)</f>
        <v>-0.94902108583103562</v>
      </c>
      <c r="X79" s="74"/>
      <c r="Y79" s="61"/>
    </row>
    <row r="80" spans="1:35" ht="5.25" customHeight="1">
      <c r="A80" s="43">
        <v>57</v>
      </c>
      <c r="S80" s="5"/>
      <c r="X80" s="73"/>
      <c r="Y80" s="59"/>
    </row>
    <row r="81" spans="1:36" ht="14" customHeight="1">
      <c r="A81" s="43">
        <v>58</v>
      </c>
      <c r="B81" s="37" t="s">
        <v>414</v>
      </c>
      <c r="C81" s="22"/>
      <c r="D81" s="22"/>
      <c r="E81" s="86"/>
      <c r="F81" s="86"/>
      <c r="G81" s="86"/>
      <c r="H81" s="86"/>
      <c r="I81" s="86"/>
      <c r="J81" s="86"/>
      <c r="K81" s="86"/>
      <c r="L81" s="86"/>
      <c r="M81" s="86"/>
      <c r="N81" s="86"/>
      <c r="O81" s="22"/>
      <c r="P81" s="53">
        <v>200</v>
      </c>
      <c r="Q81" s="53">
        <v>200</v>
      </c>
      <c r="R81" s="45">
        <f>+P81-Q81</f>
        <v>0</v>
      </c>
      <c r="S81" s="21">
        <f>IF(Q81=0,"NA",(+P81-Q81)/Q81)</f>
        <v>0</v>
      </c>
      <c r="U81" s="53">
        <v>152.04</v>
      </c>
      <c r="V81" s="53">
        <v>183.37</v>
      </c>
      <c r="W81" s="21">
        <f>IF(V81=0,"NA",(+U81-V81)/V81)</f>
        <v>-0.17085673774336049</v>
      </c>
      <c r="X81" s="687" t="s">
        <v>481</v>
      </c>
      <c r="Y81" s="58" t="s">
        <v>119</v>
      </c>
      <c r="AF81" s="1">
        <f>+$P81</f>
        <v>200</v>
      </c>
      <c r="AJ81" s="1">
        <f>+$U81</f>
        <v>152.04</v>
      </c>
    </row>
    <row r="82" spans="1:36">
      <c r="B82" s="37"/>
      <c r="C82" s="22"/>
      <c r="D82" s="22"/>
      <c r="E82" s="86"/>
      <c r="F82" s="86"/>
      <c r="G82" s="86"/>
      <c r="H82" s="86"/>
      <c r="I82" s="86"/>
      <c r="J82" s="86"/>
      <c r="K82" s="86"/>
      <c r="L82" s="86"/>
      <c r="M82" s="86"/>
      <c r="N82" s="86"/>
      <c r="O82" s="22"/>
      <c r="P82" s="53"/>
      <c r="Q82" s="53"/>
      <c r="R82" s="45"/>
      <c r="S82" s="21"/>
      <c r="U82" s="53"/>
      <c r="V82" s="53"/>
      <c r="W82" s="21"/>
      <c r="X82" s="62" t="s">
        <v>395</v>
      </c>
      <c r="Y82" s="58"/>
    </row>
    <row r="83" spans="1:36" ht="6" customHeight="1">
      <c r="A83" s="43">
        <v>59</v>
      </c>
      <c r="S83" s="5"/>
      <c r="X83" s="73"/>
      <c r="Y83" s="59"/>
    </row>
    <row r="84" spans="1:36">
      <c r="A84" s="43">
        <v>60</v>
      </c>
      <c r="B84" s="2" t="s">
        <v>26</v>
      </c>
      <c r="S84" s="5"/>
      <c r="X84" s="73"/>
      <c r="Y84" s="59"/>
    </row>
    <row r="85" spans="1:36">
      <c r="A85" s="43">
        <v>61</v>
      </c>
      <c r="C85" s="243" t="s">
        <v>27</v>
      </c>
      <c r="D85" s="255"/>
      <c r="E85" s="256"/>
      <c r="F85" s="257"/>
      <c r="G85" s="257"/>
      <c r="H85" s="257"/>
      <c r="I85" s="257"/>
      <c r="J85" s="257"/>
      <c r="K85" s="257"/>
      <c r="L85" s="257"/>
      <c r="M85" s="257"/>
      <c r="N85" s="257"/>
      <c r="O85" s="243"/>
      <c r="P85" s="268">
        <v>200</v>
      </c>
      <c r="Q85" s="268">
        <v>200</v>
      </c>
      <c r="R85" s="241">
        <f t="shared" ref="R85:R91" si="14">+P85-Q85</f>
        <v>0</v>
      </c>
      <c r="S85" s="242">
        <f t="shared" ref="S85:S93" si="15">IF(Q85=0,"NA",(+P85-Q85)/Q85)</f>
        <v>0</v>
      </c>
      <c r="T85" s="243"/>
      <c r="U85" s="240">
        <v>129.99</v>
      </c>
      <c r="V85" s="240">
        <v>200</v>
      </c>
      <c r="W85" s="242">
        <f t="shared" ref="W85:W93" si="16">IF(V85=0,"NA",(+U85-V85)/V85)</f>
        <v>-0.35004999999999997</v>
      </c>
      <c r="X85" s="687" t="s">
        <v>481</v>
      </c>
      <c r="Y85" s="59"/>
      <c r="AD85" s="1">
        <f>+$P85</f>
        <v>200</v>
      </c>
      <c r="AH85" s="1">
        <f>+$U85</f>
        <v>129.99</v>
      </c>
    </row>
    <row r="86" spans="1:36" ht="29">
      <c r="A86" s="43">
        <v>62</v>
      </c>
      <c r="C86" s="248" t="s">
        <v>28</v>
      </c>
      <c r="D86" s="258"/>
      <c r="E86" s="259"/>
      <c r="F86" s="260"/>
      <c r="G86" s="260"/>
      <c r="H86" s="260"/>
      <c r="I86" s="260"/>
      <c r="J86" s="260"/>
      <c r="K86" s="260"/>
      <c r="L86" s="260"/>
      <c r="M86" s="260"/>
      <c r="N86" s="260"/>
      <c r="O86" s="248"/>
      <c r="P86" s="266">
        <v>500</v>
      </c>
      <c r="Q86" s="266">
        <v>700</v>
      </c>
      <c r="R86" s="246">
        <f t="shared" si="14"/>
        <v>-200</v>
      </c>
      <c r="S86" s="247">
        <f t="shared" si="15"/>
        <v>-0.2857142857142857</v>
      </c>
      <c r="T86" s="248"/>
      <c r="U86" s="245">
        <v>492.92</v>
      </c>
      <c r="V86" s="245">
        <v>700</v>
      </c>
      <c r="W86" s="247">
        <f t="shared" si="16"/>
        <v>-0.29582857142857139</v>
      </c>
      <c r="X86" s="689" t="s">
        <v>504</v>
      </c>
      <c r="Y86" s="63" t="s">
        <v>118</v>
      </c>
      <c r="AD86" s="1">
        <f>+$P86</f>
        <v>500</v>
      </c>
      <c r="AH86" s="1">
        <f>+$U86</f>
        <v>492.92</v>
      </c>
    </row>
    <row r="87" spans="1:36">
      <c r="A87" s="43">
        <v>63</v>
      </c>
      <c r="C87" s="253" t="s">
        <v>29</v>
      </c>
      <c r="D87" s="261"/>
      <c r="E87" s="262"/>
      <c r="F87" s="263"/>
      <c r="G87" s="263"/>
      <c r="H87" s="263"/>
      <c r="I87" s="263"/>
      <c r="J87" s="263"/>
      <c r="K87" s="263"/>
      <c r="L87" s="263"/>
      <c r="M87" s="263"/>
      <c r="N87" s="263"/>
      <c r="O87" s="253"/>
      <c r="P87" s="267">
        <v>1000</v>
      </c>
      <c r="Q87" s="267">
        <v>1000</v>
      </c>
      <c r="R87" s="251">
        <f t="shared" si="14"/>
        <v>0</v>
      </c>
      <c r="S87" s="252">
        <f t="shared" si="15"/>
        <v>0</v>
      </c>
      <c r="T87" s="253"/>
      <c r="U87" s="250">
        <v>72</v>
      </c>
      <c r="V87" s="250">
        <v>1000</v>
      </c>
      <c r="W87" s="252">
        <f t="shared" si="16"/>
        <v>-0.92800000000000005</v>
      </c>
      <c r="X87" s="687" t="s">
        <v>488</v>
      </c>
      <c r="Y87" s="64"/>
      <c r="AF87" s="1">
        <f>+$P87</f>
        <v>1000</v>
      </c>
      <c r="AI87" s="1">
        <f t="shared" ref="AH87:AI91" si="17">+$U87</f>
        <v>72</v>
      </c>
    </row>
    <row r="88" spans="1:36" ht="29">
      <c r="C88" s="243"/>
      <c r="D88" s="255"/>
      <c r="E88" s="256"/>
      <c r="F88" s="257"/>
      <c r="G88" s="257"/>
      <c r="H88" s="257"/>
      <c r="I88" s="257"/>
      <c r="J88" s="257"/>
      <c r="K88" s="257"/>
      <c r="L88" s="257"/>
      <c r="M88" s="257"/>
      <c r="N88" s="257"/>
      <c r="O88" s="243"/>
      <c r="P88" s="268"/>
      <c r="Q88" s="268"/>
      <c r="R88" s="241"/>
      <c r="S88" s="242"/>
      <c r="T88" s="243"/>
      <c r="U88" s="240"/>
      <c r="V88" s="240"/>
      <c r="W88" s="242"/>
      <c r="X88" s="244" t="s">
        <v>489</v>
      </c>
      <c r="Y88" s="64"/>
    </row>
    <row r="89" spans="1:36">
      <c r="A89" s="43">
        <v>64</v>
      </c>
      <c r="C89" s="248" t="s">
        <v>30</v>
      </c>
      <c r="D89" s="258"/>
      <c r="E89" s="259"/>
      <c r="F89" s="260"/>
      <c r="G89" s="260"/>
      <c r="H89" s="260"/>
      <c r="I89" s="260"/>
      <c r="J89" s="260"/>
      <c r="K89" s="260"/>
      <c r="L89" s="260"/>
      <c r="M89" s="260"/>
      <c r="N89" s="260"/>
      <c r="O89" s="248"/>
      <c r="P89" s="266">
        <v>3000</v>
      </c>
      <c r="Q89" s="266">
        <v>3000</v>
      </c>
      <c r="R89" s="246">
        <f t="shared" si="14"/>
        <v>0</v>
      </c>
      <c r="S89" s="247">
        <f t="shared" si="15"/>
        <v>0</v>
      </c>
      <c r="T89" s="248"/>
      <c r="U89" s="245">
        <v>210</v>
      </c>
      <c r="V89" s="245">
        <v>2750</v>
      </c>
      <c r="W89" s="247">
        <f t="shared" si="16"/>
        <v>-0.92363636363636359</v>
      </c>
      <c r="X89" s="249" t="s">
        <v>490</v>
      </c>
      <c r="Y89" s="62"/>
      <c r="AF89" s="1">
        <f>+$P89</f>
        <v>3000</v>
      </c>
      <c r="AI89" s="1">
        <f t="shared" si="17"/>
        <v>210</v>
      </c>
    </row>
    <row r="90" spans="1:36">
      <c r="C90" s="248" t="s">
        <v>344</v>
      </c>
      <c r="D90" s="258"/>
      <c r="E90" s="259"/>
      <c r="F90" s="260"/>
      <c r="G90" s="260"/>
      <c r="H90" s="260"/>
      <c r="I90" s="260"/>
      <c r="J90" s="260"/>
      <c r="K90" s="260"/>
      <c r="L90" s="260"/>
      <c r="M90" s="260"/>
      <c r="N90" s="260"/>
      <c r="O90" s="248"/>
      <c r="P90" s="266">
        <v>200</v>
      </c>
      <c r="Q90" s="266">
        <v>200</v>
      </c>
      <c r="R90" s="246">
        <f>+P90-Q90</f>
        <v>0</v>
      </c>
      <c r="S90" s="247">
        <f>IF(Q90=0,"NA",(+P90-Q90)/Q90)</f>
        <v>0</v>
      </c>
      <c r="T90" s="248"/>
      <c r="U90" s="245">
        <v>0</v>
      </c>
      <c r="V90" s="245">
        <v>183.37</v>
      </c>
      <c r="W90" s="247">
        <f>IF(V90=0,"NA",(+U90-V90)/V90)</f>
        <v>-1</v>
      </c>
      <c r="X90" s="687" t="s">
        <v>481</v>
      </c>
      <c r="Y90" s="62"/>
      <c r="AD90" s="1">
        <f>+$P90</f>
        <v>200</v>
      </c>
      <c r="AH90" s="1">
        <f t="shared" si="17"/>
        <v>0</v>
      </c>
    </row>
    <row r="91" spans="1:36">
      <c r="A91" s="43">
        <v>65</v>
      </c>
      <c r="C91" s="253" t="s">
        <v>117</v>
      </c>
      <c r="D91" s="261"/>
      <c r="E91" s="262"/>
      <c r="F91" s="263"/>
      <c r="G91" s="263"/>
      <c r="H91" s="263"/>
      <c r="I91" s="263"/>
      <c r="J91" s="263"/>
      <c r="K91" s="263"/>
      <c r="L91" s="263"/>
      <c r="M91" s="263"/>
      <c r="N91" s="263"/>
      <c r="O91" s="253"/>
      <c r="P91" s="267">
        <v>1575</v>
      </c>
      <c r="Q91" s="267">
        <v>1575</v>
      </c>
      <c r="R91" s="251">
        <f t="shared" si="14"/>
        <v>0</v>
      </c>
      <c r="S91" s="252">
        <f t="shared" si="15"/>
        <v>0</v>
      </c>
      <c r="T91" s="253"/>
      <c r="U91" s="267">
        <v>0</v>
      </c>
      <c r="V91" s="267">
        <v>1443.75</v>
      </c>
      <c r="W91" s="252">
        <f t="shared" si="16"/>
        <v>-1</v>
      </c>
      <c r="X91" s="687" t="s">
        <v>481</v>
      </c>
      <c r="Y91" s="58" t="s">
        <v>118</v>
      </c>
      <c r="AD91" s="1">
        <f>+$P91</f>
        <v>1575</v>
      </c>
      <c r="AH91" s="1">
        <f t="shared" si="17"/>
        <v>0</v>
      </c>
    </row>
    <row r="92" spans="1:36" ht="43.5">
      <c r="C92" s="419"/>
      <c r="D92" s="420"/>
      <c r="E92" s="421"/>
      <c r="F92" s="422"/>
      <c r="G92" s="422"/>
      <c r="H92" s="422"/>
      <c r="I92" s="422"/>
      <c r="J92" s="422"/>
      <c r="K92" s="422"/>
      <c r="L92" s="422"/>
      <c r="M92" s="422"/>
      <c r="N92" s="422"/>
      <c r="O92" s="419"/>
      <c r="P92" s="427"/>
      <c r="Q92" s="427"/>
      <c r="R92" s="424"/>
      <c r="S92" s="425"/>
      <c r="T92" s="419"/>
      <c r="U92" s="427"/>
      <c r="V92" s="427"/>
      <c r="W92" s="425"/>
      <c r="X92" s="426" t="s">
        <v>491</v>
      </c>
      <c r="Y92" s="58"/>
    </row>
    <row r="93" spans="1:36" s="2" customFormat="1">
      <c r="A93" s="43">
        <v>66</v>
      </c>
      <c r="B93" s="20" t="s">
        <v>31</v>
      </c>
      <c r="C93" s="20"/>
      <c r="D93" s="37"/>
      <c r="E93" s="85"/>
      <c r="F93" s="85"/>
      <c r="G93" s="85"/>
      <c r="H93" s="85"/>
      <c r="I93" s="85"/>
      <c r="J93" s="85"/>
      <c r="K93" s="85"/>
      <c r="L93" s="85"/>
      <c r="M93" s="85"/>
      <c r="N93" s="85"/>
      <c r="O93" s="37"/>
      <c r="P93" s="20">
        <f>SUM(P85:P91)</f>
        <v>6475</v>
      </c>
      <c r="Q93" s="37">
        <f>SUM(Q85:Q91)</f>
        <v>6675</v>
      </c>
      <c r="R93" s="37">
        <f>SUM(R85:R91)</f>
        <v>-200</v>
      </c>
      <c r="S93" s="21">
        <f t="shared" si="15"/>
        <v>-2.9962546816479401E-2</v>
      </c>
      <c r="U93" s="37">
        <f>SUM(U85:U91)</f>
        <v>904.91000000000008</v>
      </c>
      <c r="V93" s="37">
        <f>SUM(V85:V91)</f>
        <v>6277.12</v>
      </c>
      <c r="W93" s="21">
        <f t="shared" si="16"/>
        <v>-0.85583993933523661</v>
      </c>
      <c r="X93" s="74"/>
      <c r="Y93" s="61"/>
    </row>
    <row r="94" spans="1:36" ht="6" customHeight="1">
      <c r="A94" s="43">
        <v>67</v>
      </c>
      <c r="S94" s="5"/>
      <c r="X94" s="73"/>
      <c r="Y94" s="59"/>
    </row>
    <row r="95" spans="1:36">
      <c r="A95" s="43">
        <v>68</v>
      </c>
      <c r="B95" s="2" t="s">
        <v>32</v>
      </c>
      <c r="S95" s="5"/>
      <c r="X95" s="73"/>
      <c r="Y95" s="59"/>
      <c r="AD95" s="598">
        <v>0.33300000000000002</v>
      </c>
      <c r="AE95" s="598">
        <v>0.33300000000000002</v>
      </c>
      <c r="AF95" s="598">
        <v>0.33400000000000002</v>
      </c>
    </row>
    <row r="96" spans="1:36" ht="14.4" customHeight="1">
      <c r="A96" s="43">
        <v>69</v>
      </c>
      <c r="C96" s="243" t="s">
        <v>33</v>
      </c>
      <c r="D96" s="255"/>
      <c r="E96" s="256"/>
      <c r="F96" s="257"/>
      <c r="G96" s="257"/>
      <c r="H96" s="257"/>
      <c r="I96" s="257"/>
      <c r="J96" s="257"/>
      <c r="K96" s="257"/>
      <c r="L96" s="257"/>
      <c r="M96" s="257"/>
      <c r="N96" s="257"/>
      <c r="O96" s="243"/>
      <c r="P96" s="268">
        <v>3500</v>
      </c>
      <c r="Q96" s="268">
        <v>3500</v>
      </c>
      <c r="R96" s="241">
        <f t="shared" ref="R96:R102" si="18">+P96-Q96</f>
        <v>0</v>
      </c>
      <c r="S96" s="242">
        <f t="shared" ref="S96:S104" si="19">IF(Q96=0,"NA",(+P96-Q96)/Q96)</f>
        <v>0</v>
      </c>
      <c r="T96" s="243"/>
      <c r="U96" s="240">
        <v>2352.2600000000002</v>
      </c>
      <c r="V96" s="240">
        <v>3208.37</v>
      </c>
      <c r="W96" s="242">
        <f t="shared" ref="W96:W104" si="20">IF(V96=0,"NA",(+U96-V96)/V96)</f>
        <v>-0.26683643096026943</v>
      </c>
      <c r="X96" s="244"/>
      <c r="Y96" s="62" t="s">
        <v>376</v>
      </c>
      <c r="AD96" s="1">
        <f>+$P96*AD$95</f>
        <v>1165.5</v>
      </c>
      <c r="AE96" s="1">
        <f t="shared" ref="AE96:AF102" si="21">+$P96*AE$95</f>
        <v>1165.5</v>
      </c>
      <c r="AF96" s="1">
        <f t="shared" si="21"/>
        <v>1169</v>
      </c>
      <c r="AH96" s="1">
        <f t="shared" ref="AH96:AH102" si="22">+$U96</f>
        <v>2352.2600000000002</v>
      </c>
    </row>
    <row r="97" spans="1:34">
      <c r="A97" s="43">
        <v>70</v>
      </c>
      <c r="C97" s="248" t="s">
        <v>34</v>
      </c>
      <c r="D97" s="258"/>
      <c r="E97" s="259"/>
      <c r="F97" s="260"/>
      <c r="G97" s="260"/>
      <c r="H97" s="260"/>
      <c r="I97" s="260"/>
      <c r="J97" s="260"/>
      <c r="K97" s="260"/>
      <c r="L97" s="260"/>
      <c r="M97" s="260"/>
      <c r="N97" s="260"/>
      <c r="O97" s="248"/>
      <c r="P97" s="245">
        <v>2250</v>
      </c>
      <c r="Q97" s="245">
        <v>2250</v>
      </c>
      <c r="R97" s="246">
        <f t="shared" si="18"/>
        <v>0</v>
      </c>
      <c r="S97" s="247">
        <f t="shared" si="19"/>
        <v>0</v>
      </c>
      <c r="T97" s="248"/>
      <c r="U97" s="245">
        <v>3477</v>
      </c>
      <c r="V97" s="245">
        <v>2062.5</v>
      </c>
      <c r="W97" s="247">
        <f t="shared" si="20"/>
        <v>0.68581818181818177</v>
      </c>
      <c r="X97" s="249"/>
      <c r="Y97" s="62" t="s">
        <v>118</v>
      </c>
      <c r="AD97" s="1">
        <f>+$P97*AD$95</f>
        <v>749.25</v>
      </c>
      <c r="AE97" s="1">
        <f t="shared" si="21"/>
        <v>749.25</v>
      </c>
      <c r="AF97" s="1">
        <f t="shared" si="21"/>
        <v>751.5</v>
      </c>
      <c r="AH97" s="1">
        <f t="shared" si="22"/>
        <v>3477</v>
      </c>
    </row>
    <row r="98" spans="1:34" ht="37.5" customHeight="1">
      <c r="A98" s="43">
        <v>73</v>
      </c>
      <c r="C98" s="253" t="s">
        <v>35</v>
      </c>
      <c r="D98" s="261"/>
      <c r="E98" s="262"/>
      <c r="F98" s="263"/>
      <c r="G98" s="263"/>
      <c r="H98" s="263"/>
      <c r="I98" s="263"/>
      <c r="J98" s="263"/>
      <c r="K98" s="263"/>
      <c r="L98" s="263"/>
      <c r="M98" s="263"/>
      <c r="N98" s="263"/>
      <c r="O98" s="253"/>
      <c r="P98" s="267">
        <v>13000</v>
      </c>
      <c r="Q98" s="267">
        <v>13000</v>
      </c>
      <c r="R98" s="251">
        <f t="shared" si="18"/>
        <v>0</v>
      </c>
      <c r="S98" s="252">
        <f t="shared" si="19"/>
        <v>0</v>
      </c>
      <c r="T98" s="253"/>
      <c r="U98" s="267">
        <v>12041.22</v>
      </c>
      <c r="V98" s="250">
        <v>11916.63</v>
      </c>
      <c r="W98" s="252">
        <f t="shared" si="20"/>
        <v>1.0455137064757414E-2</v>
      </c>
      <c r="X98" s="688" t="s">
        <v>498</v>
      </c>
      <c r="Y98" s="62" t="s">
        <v>140</v>
      </c>
      <c r="AD98" s="1">
        <f t="shared" ref="AD98:AD102" si="23">+$P98*AD$95</f>
        <v>4329</v>
      </c>
      <c r="AE98" s="1">
        <f t="shared" si="21"/>
        <v>4329</v>
      </c>
      <c r="AF98" s="1">
        <f t="shared" si="21"/>
        <v>4342</v>
      </c>
      <c r="AH98" s="1">
        <f t="shared" si="22"/>
        <v>12041.22</v>
      </c>
    </row>
    <row r="99" spans="1:34" ht="29">
      <c r="C99" s="243"/>
      <c r="D99" s="255"/>
      <c r="E99" s="256"/>
      <c r="F99" s="257"/>
      <c r="G99" s="257"/>
      <c r="H99" s="257"/>
      <c r="I99" s="257"/>
      <c r="J99" s="257"/>
      <c r="K99" s="257"/>
      <c r="L99" s="257"/>
      <c r="M99" s="257"/>
      <c r="N99" s="257"/>
      <c r="O99" s="243"/>
      <c r="P99" s="268"/>
      <c r="Q99" s="268"/>
      <c r="R99" s="241"/>
      <c r="S99" s="242"/>
      <c r="T99" s="243"/>
      <c r="U99" s="268"/>
      <c r="V99" s="240"/>
      <c r="W99" s="242"/>
      <c r="X99" s="244" t="s">
        <v>492</v>
      </c>
      <c r="Y99" s="62"/>
      <c r="Z99" s="2"/>
    </row>
    <row r="100" spans="1:34" ht="31.5" customHeight="1">
      <c r="A100" s="43">
        <v>74</v>
      </c>
      <c r="C100" s="248" t="s">
        <v>36</v>
      </c>
      <c r="D100" s="258"/>
      <c r="E100" s="259"/>
      <c r="F100" s="260"/>
      <c r="G100" s="260"/>
      <c r="H100" s="260"/>
      <c r="I100" s="260"/>
      <c r="J100" s="260"/>
      <c r="K100" s="260"/>
      <c r="L100" s="260"/>
      <c r="M100" s="260"/>
      <c r="N100" s="260"/>
      <c r="O100" s="248"/>
      <c r="P100" s="266">
        <v>1200</v>
      </c>
      <c r="Q100" s="266">
        <v>1200</v>
      </c>
      <c r="R100" s="246">
        <f t="shared" si="18"/>
        <v>0</v>
      </c>
      <c r="S100" s="247">
        <f t="shared" si="19"/>
        <v>0</v>
      </c>
      <c r="T100" s="248"/>
      <c r="U100" s="245">
        <v>577.24</v>
      </c>
      <c r="V100" s="245">
        <v>1100</v>
      </c>
      <c r="W100" s="247">
        <f t="shared" si="20"/>
        <v>-0.47523636363636362</v>
      </c>
      <c r="X100" s="249" t="s">
        <v>330</v>
      </c>
      <c r="Y100" s="59"/>
      <c r="AD100" s="1">
        <f t="shared" si="23"/>
        <v>399.6</v>
      </c>
      <c r="AE100" s="1">
        <f t="shared" si="21"/>
        <v>399.6</v>
      </c>
      <c r="AF100" s="1">
        <f t="shared" si="21"/>
        <v>400.8</v>
      </c>
      <c r="AH100" s="1">
        <f t="shared" si="22"/>
        <v>577.24</v>
      </c>
    </row>
    <row r="101" spans="1:34" ht="58.5" thickBot="1">
      <c r="A101" s="43">
        <v>75</v>
      </c>
      <c r="C101" s="253" t="s">
        <v>37</v>
      </c>
      <c r="D101" s="261"/>
      <c r="E101" s="797" t="s">
        <v>162</v>
      </c>
      <c r="F101" s="798"/>
      <c r="G101" s="798"/>
      <c r="H101" s="798"/>
      <c r="I101" s="798"/>
      <c r="J101" s="798"/>
      <c r="K101" s="798"/>
      <c r="L101" s="798"/>
      <c r="M101" s="799"/>
      <c r="N101" s="415"/>
      <c r="O101" s="253"/>
      <c r="P101" s="267">
        <v>1700</v>
      </c>
      <c r="Q101" s="267">
        <v>1700</v>
      </c>
      <c r="R101" s="251">
        <f t="shared" si="18"/>
        <v>0</v>
      </c>
      <c r="S101" s="252">
        <f t="shared" si="19"/>
        <v>0</v>
      </c>
      <c r="T101" s="253"/>
      <c r="U101" s="250">
        <v>1400.94</v>
      </c>
      <c r="V101" s="250">
        <v>1558.37</v>
      </c>
      <c r="W101" s="252">
        <f t="shared" si="20"/>
        <v>-0.10102222193702384</v>
      </c>
      <c r="X101" s="254" t="s">
        <v>493</v>
      </c>
      <c r="Y101" s="62" t="s">
        <v>132</v>
      </c>
      <c r="AD101" s="1">
        <f t="shared" si="23"/>
        <v>566.1</v>
      </c>
      <c r="AE101" s="1">
        <f t="shared" si="21"/>
        <v>566.1</v>
      </c>
      <c r="AF101" s="1">
        <f t="shared" si="21"/>
        <v>567.80000000000007</v>
      </c>
      <c r="AH101" s="1">
        <f t="shared" si="22"/>
        <v>1400.94</v>
      </c>
    </row>
    <row r="102" spans="1:34" ht="34.5" customHeight="1" thickBot="1">
      <c r="A102" s="43">
        <v>73</v>
      </c>
      <c r="C102" s="248" t="s">
        <v>320</v>
      </c>
      <c r="D102" s="258"/>
      <c r="E102" s="259"/>
      <c r="F102" s="260"/>
      <c r="G102" s="260"/>
      <c r="H102" s="260"/>
      <c r="I102" s="260"/>
      <c r="J102" s="260"/>
      <c r="K102" s="260"/>
      <c r="L102" s="260"/>
      <c r="M102" s="260"/>
      <c r="N102" s="260"/>
      <c r="O102" s="248"/>
      <c r="P102" s="266">
        <f>2000+500</f>
        <v>2500</v>
      </c>
      <c r="Q102" s="266">
        <v>4500</v>
      </c>
      <c r="R102" s="246">
        <f t="shared" si="18"/>
        <v>-2000</v>
      </c>
      <c r="S102" s="247">
        <f>IF(Q102=0,"NA",(+P102-Q102)/Q102)</f>
        <v>-0.44444444444444442</v>
      </c>
      <c r="T102" s="248"/>
      <c r="U102" s="245">
        <v>0</v>
      </c>
      <c r="V102" s="245">
        <v>4125</v>
      </c>
      <c r="W102" s="247">
        <f>IF(V102=0,"NA",(+U102-V102)/V102)</f>
        <v>-1</v>
      </c>
      <c r="X102" s="582" t="s">
        <v>503</v>
      </c>
      <c r="Y102" s="62" t="s">
        <v>140</v>
      </c>
      <c r="AD102" s="1">
        <f t="shared" si="23"/>
        <v>832.5</v>
      </c>
      <c r="AE102" s="1">
        <f t="shared" si="21"/>
        <v>832.5</v>
      </c>
      <c r="AF102" s="1">
        <f t="shared" si="21"/>
        <v>835</v>
      </c>
      <c r="AH102" s="1">
        <f t="shared" si="22"/>
        <v>0</v>
      </c>
    </row>
    <row r="103" spans="1:34" s="2" customFormat="1">
      <c r="A103" s="43">
        <v>76</v>
      </c>
      <c r="B103" s="20" t="s">
        <v>39</v>
      </c>
      <c r="C103" s="20"/>
      <c r="D103" s="37"/>
      <c r="E103" s="796">
        <f>Bud_Yr</f>
        <v>2021</v>
      </c>
      <c r="F103" s="771"/>
      <c r="G103" s="771"/>
      <c r="H103" s="771"/>
      <c r="I103" s="771">
        <f>Bud_Yr-1</f>
        <v>2020</v>
      </c>
      <c r="J103" s="771"/>
      <c r="K103" s="771"/>
      <c r="L103" s="771"/>
      <c r="M103" s="95">
        <f>Bud_Yr-2</f>
        <v>2019</v>
      </c>
      <c r="N103" s="416"/>
      <c r="O103" s="37"/>
      <c r="P103" s="20">
        <f>SUM(P96:P102)</f>
        <v>24150</v>
      </c>
      <c r="Q103" s="37">
        <f>SUM(Q96:Q102)</f>
        <v>26150</v>
      </c>
      <c r="R103" s="37">
        <f>SUM(R96:R102)</f>
        <v>-2000</v>
      </c>
      <c r="S103" s="21">
        <f t="shared" si="19"/>
        <v>-7.6481835564053538E-2</v>
      </c>
      <c r="U103" s="37">
        <f>SUM(U96:U102)</f>
        <v>19848.66</v>
      </c>
      <c r="V103" s="37">
        <f>SUM(V96:V102)</f>
        <v>23970.87</v>
      </c>
      <c r="W103" s="21">
        <f t="shared" si="20"/>
        <v>-0.17196747552341651</v>
      </c>
      <c r="X103" s="99"/>
      <c r="Y103" s="61"/>
      <c r="Z103" s="1"/>
    </row>
    <row r="104" spans="1:34" ht="15" thickBot="1">
      <c r="A104" s="43">
        <v>77</v>
      </c>
      <c r="B104" s="20" t="s">
        <v>89</v>
      </c>
      <c r="C104" s="23"/>
      <c r="D104" s="23"/>
      <c r="E104" s="96" t="s">
        <v>160</v>
      </c>
      <c r="F104" s="97" t="s">
        <v>161</v>
      </c>
      <c r="G104" s="97" t="s">
        <v>164</v>
      </c>
      <c r="H104" s="97" t="s">
        <v>159</v>
      </c>
      <c r="I104" s="97" t="s">
        <v>160</v>
      </c>
      <c r="J104" s="97" t="s">
        <v>161</v>
      </c>
      <c r="K104" s="97" t="s">
        <v>164</v>
      </c>
      <c r="L104" s="97" t="s">
        <v>159</v>
      </c>
      <c r="M104" s="98" t="s">
        <v>161</v>
      </c>
      <c r="N104" s="417"/>
      <c r="O104" s="23"/>
      <c r="P104" s="20">
        <f>+P61+P68+P70+P81+P93+P103+P79</f>
        <v>52825</v>
      </c>
      <c r="Q104" s="37">
        <f>+Q61+Q68+Q70+Q81+Q93+Q103+Q79</f>
        <v>55025</v>
      </c>
      <c r="R104" s="37">
        <f>+R61+R68+R70+R81+R93+R103+R79</f>
        <v>-2200</v>
      </c>
      <c r="S104" s="21">
        <f t="shared" si="19"/>
        <v>-3.9981826442526125E-2</v>
      </c>
      <c r="U104" s="37">
        <f>+U61+U68+U70+U81+U93+U103+U79</f>
        <v>29183.48</v>
      </c>
      <c r="V104" s="37">
        <f>+V61+V68+V70+V81+V93+V103+V79</f>
        <v>50379.93</v>
      </c>
      <c r="W104" s="21">
        <f t="shared" si="20"/>
        <v>-0.42073202563004752</v>
      </c>
      <c r="X104" s="73"/>
      <c r="Y104" s="59"/>
    </row>
    <row r="105" spans="1:34" ht="8.25" customHeight="1">
      <c r="A105" s="43">
        <v>78</v>
      </c>
      <c r="S105" s="5"/>
      <c r="X105" s="73"/>
      <c r="Y105" s="59"/>
    </row>
    <row r="106" spans="1:34" ht="30" customHeight="1">
      <c r="A106" s="43">
        <v>79</v>
      </c>
      <c r="B106" s="7" t="s">
        <v>38</v>
      </c>
      <c r="F106" s="87">
        <v>0.01</v>
      </c>
      <c r="G106" s="800" t="s">
        <v>102</v>
      </c>
      <c r="H106" s="800"/>
      <c r="K106" s="78" t="s">
        <v>180</v>
      </c>
      <c r="L106" s="87">
        <v>0.01</v>
      </c>
      <c r="O106" s="784" t="s">
        <v>98</v>
      </c>
      <c r="S106" s="5"/>
      <c r="X106" s="73"/>
      <c r="Y106" s="59"/>
    </row>
    <row r="107" spans="1:34" ht="15" customHeight="1">
      <c r="A107" s="43">
        <v>80</v>
      </c>
      <c r="B107" s="2" t="s">
        <v>154</v>
      </c>
      <c r="D107" s="50" t="s">
        <v>236</v>
      </c>
      <c r="F107" s="87">
        <v>0</v>
      </c>
      <c r="G107" s="800" t="s">
        <v>103</v>
      </c>
      <c r="H107" s="800"/>
      <c r="K107" s="78"/>
      <c r="O107" s="784"/>
      <c r="R107" s="125"/>
      <c r="S107" s="5"/>
      <c r="U107" s="126"/>
      <c r="V107" s="35"/>
      <c r="X107" s="62" t="s">
        <v>358</v>
      </c>
      <c r="Y107" s="58"/>
    </row>
    <row r="108" spans="1:34" ht="14.5" customHeight="1">
      <c r="A108" s="43">
        <v>81</v>
      </c>
      <c r="C108" s="243" t="s">
        <v>182</v>
      </c>
      <c r="D108" s="255"/>
      <c r="E108" s="256"/>
      <c r="F108" s="269"/>
      <c r="G108" s="370" t="s">
        <v>304</v>
      </c>
      <c r="H108" s="270"/>
      <c r="I108" s="271"/>
      <c r="J108" s="256"/>
      <c r="K108" s="271"/>
      <c r="L108" s="272"/>
      <c r="M108" s="273"/>
      <c r="N108" s="273"/>
      <c r="O108" s="255"/>
      <c r="P108" s="274">
        <f>+Pastor!K18-22000</f>
        <v>52510</v>
      </c>
      <c r="Q108" s="274">
        <f>+Pastor!I18</f>
        <v>75007</v>
      </c>
      <c r="R108" s="241">
        <f t="shared" ref="R108:R117" si="24">+P108-Q108</f>
        <v>-22497</v>
      </c>
      <c r="S108" s="242">
        <f t="shared" ref="S108:S118" si="25">IF(Q108=0,"NA",(+P108-Q108)/Q108)</f>
        <v>-0.29993200634607436</v>
      </c>
      <c r="T108" s="243"/>
      <c r="U108" s="240">
        <f>46756.6+22000</f>
        <v>68756.600000000006</v>
      </c>
      <c r="V108" s="240">
        <f>46756.38+22000</f>
        <v>68756.38</v>
      </c>
      <c r="W108" s="242">
        <f t="shared" ref="W108:W118" si="26">IF(V108=0,"NA",(+U108-V108)/V108)</f>
        <v>3.1997030675722621E-6</v>
      </c>
      <c r="X108" s="244"/>
      <c r="Y108" s="62" t="s">
        <v>133</v>
      </c>
    </row>
    <row r="109" spans="1:34">
      <c r="A109" s="43">
        <v>82</v>
      </c>
      <c r="C109" s="248" t="s">
        <v>40</v>
      </c>
      <c r="D109" s="258"/>
      <c r="E109" s="259"/>
      <c r="F109" s="275" t="s">
        <v>305</v>
      </c>
      <c r="G109" s="276">
        <f>+(Pastor!I12+P161+P163+P169)-(Pastor!G12+Q161+Q163+Q169)</f>
        <v>2223</v>
      </c>
      <c r="H109" s="277" t="s">
        <v>368</v>
      </c>
      <c r="I109" s="278"/>
      <c r="J109" s="259"/>
      <c r="K109" s="279"/>
      <c r="L109" s="259"/>
      <c r="M109" s="280"/>
      <c r="N109" s="280"/>
      <c r="O109" s="281"/>
      <c r="P109" s="282">
        <f>+Pastor!K60</f>
        <v>1500</v>
      </c>
      <c r="Q109" s="282">
        <f>+Pastor!I60</f>
        <v>1500</v>
      </c>
      <c r="R109" s="246">
        <f t="shared" si="24"/>
        <v>0</v>
      </c>
      <c r="S109" s="247">
        <f t="shared" si="25"/>
        <v>0</v>
      </c>
      <c r="T109" s="248"/>
      <c r="U109" s="245">
        <v>711.39</v>
      </c>
      <c r="V109" s="245">
        <v>1375</v>
      </c>
      <c r="W109" s="247">
        <f t="shared" si="26"/>
        <v>-0.48262545454545458</v>
      </c>
      <c r="X109" s="249" t="s">
        <v>171</v>
      </c>
      <c r="Y109" s="62"/>
    </row>
    <row r="110" spans="1:34" ht="14.5" customHeight="1">
      <c r="C110" s="248" t="s">
        <v>362</v>
      </c>
      <c r="D110" s="258"/>
      <c r="E110" s="259"/>
      <c r="F110" s="275" t="s">
        <v>306</v>
      </c>
      <c r="G110" s="276">
        <f>(+P149+P155+P156+P157)-(Q149+Q155+Q156+Q157)</f>
        <v>238</v>
      </c>
      <c r="H110" s="259"/>
      <c r="I110" s="259"/>
      <c r="J110" s="277"/>
      <c r="K110" s="259"/>
      <c r="L110" s="259"/>
      <c r="M110" s="259"/>
      <c r="N110" s="259"/>
      <c r="O110" s="281"/>
      <c r="P110" s="282">
        <f>+Pastor!K23</f>
        <v>5700</v>
      </c>
      <c r="Q110" s="289">
        <f>+Pastor!I23</f>
        <v>5738</v>
      </c>
      <c r="R110" s="246">
        <f t="shared" si="24"/>
        <v>-38</v>
      </c>
      <c r="S110" s="247">
        <f>IF(Q110=0,"NA",(+P110-Q110)/Q110)</f>
        <v>-6.6225165562913907E-3</v>
      </c>
      <c r="T110" s="248"/>
      <c r="U110" s="245">
        <v>5259.98</v>
      </c>
      <c r="V110" s="245">
        <v>5259.87</v>
      </c>
      <c r="W110" s="247">
        <f>IF(V110=0,"NA",(+U110-V110)/V110)</f>
        <v>2.0913064391263014E-5</v>
      </c>
      <c r="X110" s="249" t="s">
        <v>235</v>
      </c>
      <c r="Y110" s="62"/>
    </row>
    <row r="111" spans="1:34" ht="43.5" hidden="1">
      <c r="C111" s="772" t="s">
        <v>179</v>
      </c>
      <c r="D111" s="772"/>
      <c r="E111" s="283"/>
      <c r="F111" s="284" t="s">
        <v>231</v>
      </c>
      <c r="G111" s="285">
        <f>+G109+G110</f>
        <v>2461</v>
      </c>
      <c r="H111" s="286"/>
      <c r="I111" s="282"/>
      <c r="J111" s="287"/>
      <c r="K111" s="259"/>
      <c r="L111" s="779"/>
      <c r="M111" s="779"/>
      <c r="N111" s="779"/>
      <c r="O111" s="779"/>
      <c r="P111" s="266">
        <v>0</v>
      </c>
      <c r="Q111" s="266">
        <v>0</v>
      </c>
      <c r="R111" s="246">
        <f>+P111-Q111</f>
        <v>0</v>
      </c>
      <c r="S111" s="247" t="str">
        <f>IF(Q111=0,"NA",(+P111-Q111)/Q111)</f>
        <v>NA</v>
      </c>
      <c r="T111" s="248"/>
      <c r="U111" s="245">
        <v>0</v>
      </c>
      <c r="V111" s="245">
        <v>0</v>
      </c>
      <c r="W111" s="247" t="str">
        <f>IF(V111=0,"NA",(+U111-V111)/V111)</f>
        <v>NA</v>
      </c>
      <c r="X111" s="249" t="s">
        <v>212</v>
      </c>
      <c r="Y111" s="62"/>
      <c r="Z111" s="1">
        <v>14003</v>
      </c>
    </row>
    <row r="112" spans="1:34" ht="14" customHeight="1">
      <c r="C112" s="248" t="s">
        <v>173</v>
      </c>
      <c r="D112" s="258"/>
      <c r="E112" s="259"/>
      <c r="F112" s="287"/>
      <c r="G112" s="259"/>
      <c r="H112" s="288"/>
      <c r="I112" s="259"/>
      <c r="J112" s="259"/>
      <c r="K112" s="259"/>
      <c r="L112" s="259"/>
      <c r="M112" s="259"/>
      <c r="N112" s="259"/>
      <c r="O112" s="289"/>
      <c r="P112" s="282">
        <f>+Pastor!K43</f>
        <v>16544</v>
      </c>
      <c r="Q112" s="282">
        <f>+Pastor!I43</f>
        <v>14003</v>
      </c>
      <c r="R112" s="246">
        <f>+P112-Q112</f>
        <v>2541</v>
      </c>
      <c r="S112" s="247">
        <f>IF(Q112=0,"NA",(+P112-Q112)/Q112)</f>
        <v>0.18146111547525531</v>
      </c>
      <c r="T112" s="248"/>
      <c r="U112" s="245">
        <v>12037.76</v>
      </c>
      <c r="V112" s="266">
        <v>12836.12</v>
      </c>
      <c r="W112" s="247">
        <f>IF(V112=0,"NA",(+U112-V112)/V112)</f>
        <v>-6.2196364633549744E-2</v>
      </c>
      <c r="X112" s="249"/>
      <c r="Y112" s="66" t="s">
        <v>146</v>
      </c>
      <c r="Z112" s="2"/>
    </row>
    <row r="113" spans="1:37" ht="14.4" hidden="1" customHeight="1">
      <c r="C113" s="248" t="s">
        <v>175</v>
      </c>
      <c r="D113" s="258"/>
      <c r="E113" s="259"/>
      <c r="F113" s="259"/>
      <c r="G113" s="259"/>
      <c r="H113" s="290"/>
      <c r="I113" s="259"/>
      <c r="J113" s="259"/>
      <c r="K113" s="259"/>
      <c r="L113" s="259"/>
      <c r="M113" s="259"/>
      <c r="N113" s="259"/>
      <c r="O113" s="291"/>
      <c r="P113" s="282">
        <v>0</v>
      </c>
      <c r="Q113" s="266">
        <v>0</v>
      </c>
      <c r="R113" s="246">
        <f>+P113-Q113</f>
        <v>0</v>
      </c>
      <c r="S113" s="247" t="str">
        <f>IF(Q113=0,"NA",(+P113-Q113)/Q113)</f>
        <v>NA</v>
      </c>
      <c r="T113" s="248"/>
      <c r="U113" s="245">
        <v>0</v>
      </c>
      <c r="V113" s="266">
        <v>0</v>
      </c>
      <c r="W113" s="247" t="str">
        <f>IF(V113=0,"NA",(+U113-V113)/V113)</f>
        <v>NA</v>
      </c>
      <c r="X113" s="249" t="s">
        <v>377</v>
      </c>
      <c r="Y113" s="66" t="s">
        <v>146</v>
      </c>
      <c r="Z113" s="1">
        <v>2342</v>
      </c>
    </row>
    <row r="114" spans="1:37" ht="14.4" customHeight="1">
      <c r="A114" s="43">
        <v>83</v>
      </c>
      <c r="C114" s="248" t="s">
        <v>174</v>
      </c>
      <c r="D114" s="258"/>
      <c r="E114" s="280"/>
      <c r="F114" s="290"/>
      <c r="G114" s="280"/>
      <c r="H114" s="290"/>
      <c r="I114" s="280"/>
      <c r="J114" s="290"/>
      <c r="K114" s="293"/>
      <c r="L114" s="259"/>
      <c r="M114" s="259"/>
      <c r="N114" s="259"/>
      <c r="O114" s="289"/>
      <c r="P114" s="282">
        <f>+Pastor!K57</f>
        <v>1765</v>
      </c>
      <c r="Q114" s="282">
        <f>+Pastor!I57</f>
        <v>2342</v>
      </c>
      <c r="R114" s="246">
        <f t="shared" si="24"/>
        <v>-577</v>
      </c>
      <c r="S114" s="247">
        <f t="shared" si="25"/>
        <v>-0.24637062339880444</v>
      </c>
      <c r="T114" s="248"/>
      <c r="U114" s="245">
        <v>1910.93</v>
      </c>
      <c r="V114" s="266">
        <v>2146.87</v>
      </c>
      <c r="W114" s="247">
        <f t="shared" si="26"/>
        <v>-0.10989952815028382</v>
      </c>
      <c r="X114" s="292" t="s">
        <v>181</v>
      </c>
      <c r="Y114" s="66" t="s">
        <v>146</v>
      </c>
    </row>
    <row r="115" spans="1:37">
      <c r="C115" s="248" t="s">
        <v>107</v>
      </c>
      <c r="D115" s="258"/>
      <c r="E115" s="259"/>
      <c r="F115" s="259"/>
      <c r="G115" s="259"/>
      <c r="H115" s="259"/>
      <c r="I115" s="259"/>
      <c r="J115" s="259"/>
      <c r="K115" s="259"/>
      <c r="L115" s="259"/>
      <c r="M115" s="259"/>
      <c r="N115" s="259"/>
      <c r="O115" s="289"/>
      <c r="P115" s="282">
        <f>+Pastor!K62</f>
        <v>600</v>
      </c>
      <c r="Q115" s="289">
        <f>+Pastor!I62</f>
        <v>600</v>
      </c>
      <c r="R115" s="246">
        <f t="shared" si="24"/>
        <v>0</v>
      </c>
      <c r="S115" s="247">
        <f>IF(Q115=0,"NA",(+P115-Q115)/Q115)</f>
        <v>0</v>
      </c>
      <c r="T115" s="248"/>
      <c r="U115" s="245">
        <v>128.01</v>
      </c>
      <c r="V115" s="245">
        <v>550</v>
      </c>
      <c r="W115" s="247">
        <f>IF(V115=0,"NA",(+U115-V115)/V115)</f>
        <v>-0.76725454545454552</v>
      </c>
      <c r="X115" s="249" t="s">
        <v>172</v>
      </c>
      <c r="Y115" s="62"/>
    </row>
    <row r="116" spans="1:37">
      <c r="C116" s="248" t="s">
        <v>226</v>
      </c>
      <c r="D116" s="258"/>
      <c r="E116" s="259"/>
      <c r="F116" s="260"/>
      <c r="G116" s="260"/>
      <c r="H116" s="260"/>
      <c r="I116" s="260"/>
      <c r="J116" s="260"/>
      <c r="K116" s="260"/>
      <c r="L116" s="260"/>
      <c r="M116" s="260"/>
      <c r="N116" s="260"/>
      <c r="O116" s="294"/>
      <c r="P116" s="282">
        <f>+Pastor!K63</f>
        <v>480</v>
      </c>
      <c r="Q116" s="289">
        <f>+Pastor!I63</f>
        <v>480</v>
      </c>
      <c r="R116" s="246">
        <f>+P116-Q116</f>
        <v>0</v>
      </c>
      <c r="S116" s="247">
        <f>IF(Q116=0,"NA",(+P116-Q116)/Q116)</f>
        <v>0</v>
      </c>
      <c r="T116" s="248"/>
      <c r="U116" s="245">
        <v>360</v>
      </c>
      <c r="V116" s="245">
        <v>360</v>
      </c>
      <c r="W116" s="247">
        <f>IF(V116=0,"NA",(+U116-V116)/V116)</f>
        <v>0</v>
      </c>
      <c r="X116" s="249" t="s">
        <v>237</v>
      </c>
      <c r="Y116" s="62"/>
    </row>
    <row r="117" spans="1:37" ht="29">
      <c r="A117" s="43">
        <v>85</v>
      </c>
      <c r="C117" s="253" t="s">
        <v>41</v>
      </c>
      <c r="D117" s="261"/>
      <c r="E117" s="262"/>
      <c r="F117" s="263"/>
      <c r="G117" s="263"/>
      <c r="H117" s="263"/>
      <c r="I117" s="263"/>
      <c r="J117" s="263"/>
      <c r="K117" s="263"/>
      <c r="L117" s="263"/>
      <c r="M117" s="263"/>
      <c r="N117" s="263"/>
      <c r="O117" s="295"/>
      <c r="P117" s="296">
        <f>+Pastor!K61</f>
        <v>1000</v>
      </c>
      <c r="Q117" s="414">
        <f>+Pastor!I61</f>
        <v>1000</v>
      </c>
      <c r="R117" s="251">
        <f t="shared" si="24"/>
        <v>0</v>
      </c>
      <c r="S117" s="252">
        <f t="shared" si="25"/>
        <v>0</v>
      </c>
      <c r="T117" s="253"/>
      <c r="U117" s="250">
        <v>428.99</v>
      </c>
      <c r="V117" s="250">
        <v>916.64</v>
      </c>
      <c r="W117" s="252">
        <f t="shared" si="26"/>
        <v>-0.53199729446674815</v>
      </c>
      <c r="X117" s="254" t="s">
        <v>378</v>
      </c>
      <c r="Y117" s="62"/>
      <c r="AD117" s="408">
        <v>0.4</v>
      </c>
      <c r="AE117" s="408">
        <v>0.15</v>
      </c>
      <c r="AF117" s="408">
        <v>0.4</v>
      </c>
      <c r="AG117" s="408">
        <v>0.05</v>
      </c>
      <c r="AH117" s="35">
        <f>+AD117</f>
        <v>0.4</v>
      </c>
      <c r="AI117" s="35">
        <f>+AE117</f>
        <v>0.15</v>
      </c>
      <c r="AJ117" s="35">
        <f>+AF117</f>
        <v>0.4</v>
      </c>
      <c r="AK117" s="35">
        <f>+AG117</f>
        <v>0.05</v>
      </c>
    </row>
    <row r="118" spans="1:37" s="2" customFormat="1">
      <c r="A118" s="43">
        <v>86</v>
      </c>
      <c r="B118" s="24" t="s">
        <v>155</v>
      </c>
      <c r="C118" s="24"/>
      <c r="D118" s="24"/>
      <c r="E118" s="88"/>
      <c r="F118" s="88"/>
      <c r="G118" s="88"/>
      <c r="H118" s="88"/>
      <c r="I118" s="88"/>
      <c r="J118" s="88"/>
      <c r="K118" s="88"/>
      <c r="L118" s="88"/>
      <c r="M118" s="88"/>
      <c r="N118" s="88"/>
      <c r="O118" s="24"/>
      <c r="P118" s="24">
        <f>SUM(P108:P117)</f>
        <v>80099</v>
      </c>
      <c r="Q118" s="24">
        <f>SUM(Q108:Q117)</f>
        <v>100670</v>
      </c>
      <c r="R118" s="24">
        <f>SUM(R108:R117)</f>
        <v>-20571</v>
      </c>
      <c r="S118" s="25">
        <f t="shared" si="25"/>
        <v>-0.20434091586371311</v>
      </c>
      <c r="U118" s="24">
        <f>SUM(U108:U117)</f>
        <v>89593.659999999989</v>
      </c>
      <c r="V118" s="24">
        <f>SUM(V108:V117)</f>
        <v>92200.87999999999</v>
      </c>
      <c r="W118" s="25">
        <f t="shared" si="26"/>
        <v>-2.8277604291846253E-2</v>
      </c>
      <c r="X118" s="74"/>
      <c r="Y118" s="61"/>
      <c r="Z118" s="1"/>
      <c r="AD118" s="2">
        <f>+$P118*AD117</f>
        <v>32039.600000000002</v>
      </c>
      <c r="AE118" s="2">
        <f t="shared" ref="AE118:AG118" si="27">+$P118*AE117</f>
        <v>12014.85</v>
      </c>
      <c r="AF118" s="2">
        <f t="shared" si="27"/>
        <v>32039.600000000002</v>
      </c>
      <c r="AG118" s="2">
        <f t="shared" si="27"/>
        <v>4004.9500000000003</v>
      </c>
      <c r="AH118" s="2">
        <f>+U118*AH117</f>
        <v>35837.464</v>
      </c>
      <c r="AI118" s="2">
        <f>+U118*AI117</f>
        <v>13439.048999999997</v>
      </c>
      <c r="AJ118" s="2">
        <f>+U118*AJ117</f>
        <v>35837.464</v>
      </c>
      <c r="AK118" s="2">
        <f>+V118*AK117</f>
        <v>4610.0439999999999</v>
      </c>
    </row>
    <row r="119" spans="1:37" ht="6.75" customHeight="1">
      <c r="A119" s="43">
        <v>87</v>
      </c>
      <c r="S119" s="5"/>
      <c r="X119" s="73"/>
      <c r="Y119" s="59"/>
    </row>
    <row r="120" spans="1:37" ht="15" customHeight="1">
      <c r="A120" s="43">
        <v>80</v>
      </c>
      <c r="B120" s="2" t="s">
        <v>356</v>
      </c>
      <c r="D120" s="50" t="s">
        <v>494</v>
      </c>
      <c r="F120" s="464"/>
      <c r="G120" s="773"/>
      <c r="H120" s="773"/>
      <c r="R120" s="125"/>
      <c r="S120" s="39"/>
      <c r="U120" s="126"/>
      <c r="V120" s="35"/>
      <c r="W120" s="39"/>
      <c r="X120" s="62"/>
      <c r="Y120" s="58"/>
    </row>
    <row r="121" spans="1:37" ht="14.5" customHeight="1">
      <c r="A121" s="43">
        <v>81</v>
      </c>
      <c r="C121" s="243" t="s">
        <v>182</v>
      </c>
      <c r="D121" s="255"/>
      <c r="E121" s="256"/>
      <c r="F121" s="269"/>
      <c r="G121" s="370"/>
      <c r="H121" s="270"/>
      <c r="I121" s="271"/>
      <c r="J121" s="256"/>
      <c r="K121" s="271"/>
      <c r="L121" s="272"/>
      <c r="M121" s="273"/>
      <c r="N121" s="273"/>
      <c r="O121" s="255"/>
      <c r="P121" s="274">
        <f>+'Assoc. Pastor'!E23</f>
        <v>65087</v>
      </c>
      <c r="Q121" s="274">
        <f>+'Assoc. Pastor'!D23</f>
        <v>29145</v>
      </c>
      <c r="R121" s="241">
        <f t="shared" ref="R121:R123" si="28">+P121-Q121</f>
        <v>35942</v>
      </c>
      <c r="S121" s="242">
        <f t="shared" ref="S121:S122" si="29">IF(Q121=0,"NA",(+P121-Q121)/Q121)</f>
        <v>1.2332132441242065</v>
      </c>
      <c r="T121" s="243"/>
      <c r="U121" s="240">
        <v>0</v>
      </c>
      <c r="V121" s="240">
        <v>24287.5</v>
      </c>
      <c r="W121" s="242">
        <f t="shared" ref="W121:W122" si="30">IF(V121=0,"NA",(+U121-V121)/V121)</f>
        <v>-1</v>
      </c>
      <c r="X121" s="244" t="s">
        <v>171</v>
      </c>
      <c r="Y121" s="62" t="s">
        <v>133</v>
      </c>
    </row>
    <row r="122" spans="1:37">
      <c r="A122" s="43">
        <v>82</v>
      </c>
      <c r="C122" s="248" t="s">
        <v>40</v>
      </c>
      <c r="D122" s="258"/>
      <c r="E122" s="259"/>
      <c r="F122" s="275"/>
      <c r="G122" s="276"/>
      <c r="H122" s="277"/>
      <c r="I122" s="278"/>
      <c r="J122" s="259"/>
      <c r="K122" s="279"/>
      <c r="L122" s="259"/>
      <c r="M122" s="280"/>
      <c r="N122" s="280"/>
      <c r="O122" s="281"/>
      <c r="P122" s="282">
        <f>+'Assoc. Pastor'!E58</f>
        <v>1200</v>
      </c>
      <c r="Q122" s="282">
        <f>+'Assoc. Pastor'!D58</f>
        <v>600</v>
      </c>
      <c r="R122" s="246">
        <f t="shared" si="28"/>
        <v>600</v>
      </c>
      <c r="S122" s="247">
        <f t="shared" si="29"/>
        <v>1</v>
      </c>
      <c r="T122" s="248"/>
      <c r="U122" s="245">
        <v>0</v>
      </c>
      <c r="V122" s="245">
        <v>500</v>
      </c>
      <c r="W122" s="247">
        <f t="shared" si="30"/>
        <v>-1</v>
      </c>
      <c r="X122" s="249" t="s">
        <v>171</v>
      </c>
      <c r="Y122" s="62"/>
    </row>
    <row r="123" spans="1:37" ht="14.5" customHeight="1">
      <c r="C123" s="248" t="s">
        <v>362</v>
      </c>
      <c r="D123" s="258"/>
      <c r="E123" s="259"/>
      <c r="F123" s="275"/>
      <c r="G123" s="276"/>
      <c r="H123" s="259"/>
      <c r="I123" s="259"/>
      <c r="J123" s="277"/>
      <c r="K123" s="259"/>
      <c r="L123" s="259"/>
      <c r="M123" s="259"/>
      <c r="N123" s="259"/>
      <c r="O123" s="281"/>
      <c r="P123" s="282">
        <f>+'Assoc. Pastor'!E28</f>
        <v>4979</v>
      </c>
      <c r="Q123" s="282">
        <f>+'Assoc. Pastor'!D28</f>
        <v>2230</v>
      </c>
      <c r="R123" s="246">
        <f t="shared" si="28"/>
        <v>2749</v>
      </c>
      <c r="S123" s="247">
        <f>IF(Q123=0,"NA",(+P123-Q123)/Q123)</f>
        <v>1.2327354260089687</v>
      </c>
      <c r="T123" s="248"/>
      <c r="U123" s="245">
        <v>0</v>
      </c>
      <c r="V123" s="245">
        <v>1858.3</v>
      </c>
      <c r="W123" s="247">
        <f>IF(V123=0,"NA",(+U123-V123)/V123)</f>
        <v>-1</v>
      </c>
      <c r="X123" s="249" t="s">
        <v>235</v>
      </c>
      <c r="Y123" s="62"/>
      <c r="AA123" s="456"/>
    </row>
    <row r="124" spans="1:37" ht="14" customHeight="1">
      <c r="C124" s="248" t="s">
        <v>173</v>
      </c>
      <c r="D124" s="258"/>
      <c r="E124" s="259"/>
      <c r="F124" s="287"/>
      <c r="G124" s="259"/>
      <c r="H124" s="288"/>
      <c r="I124" s="259"/>
      <c r="J124" s="259"/>
      <c r="K124" s="259"/>
      <c r="L124" s="259"/>
      <c r="M124" s="259"/>
      <c r="N124" s="259"/>
      <c r="O124" s="289"/>
      <c r="P124" s="282">
        <f>+'Assoc. Pastor'!E48</f>
        <v>11211</v>
      </c>
      <c r="Q124" s="282">
        <f>+'Assoc. Pastor'!D48</f>
        <v>3138</v>
      </c>
      <c r="R124" s="246">
        <f>+P124-Q124</f>
        <v>8073</v>
      </c>
      <c r="S124" s="247">
        <f>IF(Q124=0,"NA",(+P124-Q124)/Q124)</f>
        <v>2.5726577437858507</v>
      </c>
      <c r="T124" s="248"/>
      <c r="U124" s="245">
        <v>0</v>
      </c>
      <c r="V124" s="266">
        <v>2615</v>
      </c>
      <c r="W124" s="247">
        <f>IF(V124=0,"NA",(+U124-V124)/V124)</f>
        <v>-1</v>
      </c>
      <c r="X124" s="249"/>
      <c r="Y124" s="66" t="s">
        <v>146</v>
      </c>
    </row>
    <row r="125" spans="1:37" ht="14.4" customHeight="1">
      <c r="C125" s="248" t="s">
        <v>364</v>
      </c>
      <c r="D125" s="258"/>
      <c r="E125" s="259"/>
      <c r="F125" s="259"/>
      <c r="G125" s="259"/>
      <c r="H125" s="290"/>
      <c r="I125" s="259"/>
      <c r="J125" s="259"/>
      <c r="K125" s="259"/>
      <c r="L125" s="259"/>
      <c r="M125" s="259"/>
      <c r="N125" s="259"/>
      <c r="O125" s="291"/>
      <c r="P125" s="266">
        <v>0</v>
      </c>
      <c r="Q125" s="282">
        <f>+'Assoc. Pastor'!D32</f>
        <v>11013</v>
      </c>
      <c r="R125" s="246">
        <f>+P125-Q125</f>
        <v>-11013</v>
      </c>
      <c r="S125" s="247">
        <f>IF(Q125=0,"NA",(+P125-Q125)/Q125)</f>
        <v>-1</v>
      </c>
      <c r="T125" s="248"/>
      <c r="U125" s="245">
        <v>0</v>
      </c>
      <c r="V125" s="266">
        <v>9177.5</v>
      </c>
      <c r="W125" s="247">
        <f>IF(V125=0,"NA",(+U125-V125)/V125)</f>
        <v>-1</v>
      </c>
      <c r="X125" s="249" t="s">
        <v>495</v>
      </c>
      <c r="Y125" s="66"/>
      <c r="Z125" s="2"/>
    </row>
    <row r="126" spans="1:37" ht="14.4" customHeight="1">
      <c r="A126" s="43">
        <v>83</v>
      </c>
      <c r="C126" s="248" t="s">
        <v>174</v>
      </c>
      <c r="D126" s="258"/>
      <c r="E126" s="280"/>
      <c r="F126" s="290"/>
      <c r="G126" s="280"/>
      <c r="H126" s="290"/>
      <c r="I126" s="280"/>
      <c r="J126" s="290"/>
      <c r="K126" s="293"/>
      <c r="L126" s="259"/>
      <c r="M126" s="259"/>
      <c r="N126" s="259"/>
      <c r="O126" s="289"/>
      <c r="P126" s="282">
        <f>+'Assoc. Pastor'!E56</f>
        <v>1541</v>
      </c>
      <c r="Q126" s="282">
        <f>+'Assoc. Pastor'!D56</f>
        <v>910</v>
      </c>
      <c r="R126" s="246">
        <f t="shared" ref="R126:R127" si="31">+P126-Q126</f>
        <v>631</v>
      </c>
      <c r="S126" s="247">
        <f t="shared" ref="S126" si="32">IF(Q126=0,"NA",(+P126-Q126)/Q126)</f>
        <v>0.69340659340659339</v>
      </c>
      <c r="T126" s="248"/>
      <c r="U126" s="245">
        <v>0</v>
      </c>
      <c r="V126" s="266">
        <v>758.3</v>
      </c>
      <c r="W126" s="247">
        <f t="shared" ref="W126" si="33">IF(V126=0,"NA",(+U126-V126)/V126)</f>
        <v>-1</v>
      </c>
      <c r="X126" s="292" t="s">
        <v>181</v>
      </c>
      <c r="Y126" s="66" t="s">
        <v>146</v>
      </c>
    </row>
    <row r="127" spans="1:37">
      <c r="C127" s="248" t="s">
        <v>107</v>
      </c>
      <c r="D127" s="258"/>
      <c r="E127" s="259"/>
      <c r="F127" s="259"/>
      <c r="G127" s="259"/>
      <c r="H127" s="259"/>
      <c r="I127" s="259"/>
      <c r="J127" s="259"/>
      <c r="K127" s="259"/>
      <c r="L127" s="259"/>
      <c r="M127" s="259"/>
      <c r="N127" s="259"/>
      <c r="O127" s="289"/>
      <c r="P127" s="282">
        <f>+'Assoc. Pastor'!E60</f>
        <v>600</v>
      </c>
      <c r="Q127" s="282">
        <f>+'Assoc. Pastor'!D60</f>
        <v>300</v>
      </c>
      <c r="R127" s="246">
        <f t="shared" si="31"/>
        <v>300</v>
      </c>
      <c r="S127" s="247">
        <f>IF(Q127=0,"NA",(+P127-Q127)/Q127)</f>
        <v>1</v>
      </c>
      <c r="T127" s="248"/>
      <c r="U127" s="245">
        <v>0</v>
      </c>
      <c r="V127" s="245">
        <v>250</v>
      </c>
      <c r="W127" s="247">
        <f>IF(V127=0,"NA",(+U127-V127)/V127)</f>
        <v>-1</v>
      </c>
      <c r="X127" s="249" t="s">
        <v>171</v>
      </c>
      <c r="Y127" s="62"/>
    </row>
    <row r="128" spans="1:37">
      <c r="C128" s="248" t="s">
        <v>226</v>
      </c>
      <c r="D128" s="258"/>
      <c r="E128" s="259"/>
      <c r="F128" s="260"/>
      <c r="G128" s="260"/>
      <c r="H128" s="260"/>
      <c r="I128" s="260"/>
      <c r="J128" s="260"/>
      <c r="K128" s="260"/>
      <c r="L128" s="260"/>
      <c r="M128" s="260"/>
      <c r="N128" s="260"/>
      <c r="O128" s="294"/>
      <c r="P128" s="282">
        <f>+'Assoc. Pastor'!E61</f>
        <v>480</v>
      </c>
      <c r="Q128" s="282">
        <f>+'Assoc. Pastor'!D61</f>
        <v>240</v>
      </c>
      <c r="R128" s="246">
        <f>+P128-Q128</f>
        <v>240</v>
      </c>
      <c r="S128" s="247">
        <f>IF(Q128=0,"NA",(+P128-Q128)/Q128)</f>
        <v>1</v>
      </c>
      <c r="T128" s="248"/>
      <c r="U128" s="245">
        <v>0</v>
      </c>
      <c r="V128" s="245">
        <v>120</v>
      </c>
      <c r="W128" s="247">
        <f>IF(V128=0,"NA",(+U128-V128)/V128)</f>
        <v>-1</v>
      </c>
      <c r="X128" s="249" t="s">
        <v>237</v>
      </c>
      <c r="Y128" s="62"/>
    </row>
    <row r="129" spans="1:36">
      <c r="A129" s="43">
        <v>85</v>
      </c>
      <c r="C129" s="248" t="s">
        <v>41</v>
      </c>
      <c r="D129" s="258"/>
      <c r="E129" s="259"/>
      <c r="F129" s="260"/>
      <c r="G129" s="260"/>
      <c r="H129" s="260"/>
      <c r="I129" s="260"/>
      <c r="J129" s="260"/>
      <c r="K129" s="260"/>
      <c r="L129" s="260"/>
      <c r="M129" s="260"/>
      <c r="N129" s="260"/>
      <c r="O129" s="307"/>
      <c r="P129" s="282">
        <f>+'Assoc. Pastor'!E59</f>
        <v>1300</v>
      </c>
      <c r="Q129" s="282">
        <f>+'Assoc. Pastor'!D59</f>
        <v>375</v>
      </c>
      <c r="R129" s="246">
        <f t="shared" ref="R129:R130" si="34">+P129-Q129</f>
        <v>925</v>
      </c>
      <c r="S129" s="247">
        <f t="shared" ref="S129:S131" si="35">IF(Q129=0,"NA",(+P129-Q129)/Q129)</f>
        <v>2.4666666666666668</v>
      </c>
      <c r="T129" s="248"/>
      <c r="U129" s="245">
        <v>0</v>
      </c>
      <c r="V129" s="245">
        <v>312.5</v>
      </c>
      <c r="W129" s="247">
        <f t="shared" ref="W129:W131" si="36">IF(V129=0,"NA",(+U129-V129)/V129)</f>
        <v>-1</v>
      </c>
      <c r="X129" s="249" t="s">
        <v>171</v>
      </c>
      <c r="Y129" s="62"/>
      <c r="AD129" s="408">
        <v>0.4</v>
      </c>
      <c r="AE129" s="408">
        <v>0.4</v>
      </c>
      <c r="AF129" s="408">
        <v>0.2</v>
      </c>
      <c r="AH129" s="35">
        <f>+AD129</f>
        <v>0.4</v>
      </c>
      <c r="AI129" s="35">
        <f>+AE129</f>
        <v>0.4</v>
      </c>
      <c r="AJ129" s="35">
        <f>+AF129</f>
        <v>0.2</v>
      </c>
    </row>
    <row r="130" spans="1:36">
      <c r="C130" s="248" t="s">
        <v>355</v>
      </c>
      <c r="D130" s="258"/>
      <c r="E130" s="259"/>
      <c r="F130" s="260"/>
      <c r="G130" s="260"/>
      <c r="H130" s="260"/>
      <c r="I130" s="260"/>
      <c r="J130" s="260"/>
      <c r="K130" s="260"/>
      <c r="L130" s="260"/>
      <c r="M130" s="260"/>
      <c r="N130" s="260"/>
      <c r="O130" s="307"/>
      <c r="P130" s="282">
        <f>+'Assoc. Pastor'!E62</f>
        <v>0</v>
      </c>
      <c r="Q130" s="282">
        <f>+'Assoc. Pastor'!D62</f>
        <v>300</v>
      </c>
      <c r="R130" s="246">
        <f t="shared" si="34"/>
        <v>-300</v>
      </c>
      <c r="S130" s="247">
        <f t="shared" si="35"/>
        <v>-1</v>
      </c>
      <c r="T130" s="248"/>
      <c r="U130" s="245">
        <v>0</v>
      </c>
      <c r="V130" s="245">
        <v>250</v>
      </c>
      <c r="W130" s="247">
        <f t="shared" ref="W130" si="37">IF(V130=0,"NA",(+U130-V130)/V130)</f>
        <v>-1</v>
      </c>
      <c r="X130" s="249" t="s">
        <v>496</v>
      </c>
      <c r="Y130" s="62"/>
      <c r="AD130" s="408"/>
      <c r="AE130" s="408"/>
      <c r="AF130" s="408"/>
      <c r="AH130" s="35"/>
      <c r="AI130" s="35"/>
      <c r="AJ130" s="35"/>
    </row>
    <row r="131" spans="1:36" s="2" customFormat="1">
      <c r="A131" s="43">
        <v>86</v>
      </c>
      <c r="B131" s="24" t="s">
        <v>357</v>
      </c>
      <c r="C131" s="24"/>
      <c r="D131" s="24"/>
      <c r="E131" s="88"/>
      <c r="F131" s="88"/>
      <c r="G131" s="88"/>
      <c r="H131" s="88"/>
      <c r="I131" s="88"/>
      <c r="J131" s="88"/>
      <c r="K131" s="88"/>
      <c r="L131" s="88"/>
      <c r="M131" s="88"/>
      <c r="N131" s="88"/>
      <c r="O131" s="24"/>
      <c r="P131" s="24">
        <f>SUM(P121:P130)</f>
        <v>86398</v>
      </c>
      <c r="Q131" s="24">
        <f>SUM(Q121:Q130)</f>
        <v>48251</v>
      </c>
      <c r="R131" s="24">
        <f>SUM(R121:R130)</f>
        <v>38147</v>
      </c>
      <c r="S131" s="25">
        <f t="shared" si="35"/>
        <v>0.79059501357484818</v>
      </c>
      <c r="U131" s="24">
        <f>SUM(U121:U130)</f>
        <v>0</v>
      </c>
      <c r="V131" s="24">
        <f>SUM(V121:V130)</f>
        <v>40129.100000000006</v>
      </c>
      <c r="W131" s="25">
        <f t="shared" si="36"/>
        <v>-1</v>
      </c>
      <c r="X131" s="74"/>
      <c r="Y131" s="61"/>
      <c r="Z131" s="1"/>
      <c r="AD131" s="2">
        <f>+$P131*AD129</f>
        <v>34559.200000000004</v>
      </c>
      <c r="AE131" s="2">
        <f t="shared" ref="AE131:AF131" si="38">+$P131*AE129</f>
        <v>34559.200000000004</v>
      </c>
      <c r="AF131" s="2">
        <f t="shared" si="38"/>
        <v>17279.600000000002</v>
      </c>
      <c r="AH131" s="2">
        <f>+U131*AH129</f>
        <v>0</v>
      </c>
      <c r="AI131" s="2">
        <f>+U131*AI129</f>
        <v>0</v>
      </c>
      <c r="AJ131" s="2">
        <f>+U131*AJ129</f>
        <v>0</v>
      </c>
    </row>
    <row r="132" spans="1:36" ht="6.75" customHeight="1">
      <c r="S132" s="39"/>
      <c r="W132" s="39"/>
      <c r="X132" s="73"/>
      <c r="Y132" s="59"/>
    </row>
    <row r="133" spans="1:36">
      <c r="A133" s="43">
        <v>88</v>
      </c>
      <c r="B133" s="2" t="s">
        <v>192</v>
      </c>
      <c r="P133" s="39"/>
      <c r="S133" s="5"/>
      <c r="X133" s="73"/>
      <c r="Y133" s="59"/>
    </row>
    <row r="134" spans="1:36">
      <c r="A134" s="43">
        <v>89</v>
      </c>
      <c r="C134" s="243" t="s">
        <v>42</v>
      </c>
      <c r="D134" s="255"/>
      <c r="E134" s="256"/>
      <c r="F134" s="257"/>
      <c r="G134" s="257"/>
      <c r="H134" s="297"/>
      <c r="I134" s="298"/>
      <c r="J134" s="298"/>
      <c r="K134" s="297"/>
      <c r="L134" s="297"/>
      <c r="M134" s="298"/>
      <c r="N134" s="298"/>
      <c r="O134" s="243"/>
      <c r="P134" s="268">
        <v>0</v>
      </c>
      <c r="Q134" s="240">
        <v>18750</v>
      </c>
      <c r="R134" s="241">
        <f t="shared" ref="R134:R139" si="39">+P134-Q134</f>
        <v>-18750</v>
      </c>
      <c r="S134" s="242">
        <f t="shared" ref="S134:S140" si="40">IF(Q134=0,"NA",(+P134-Q134)/Q134)</f>
        <v>-1</v>
      </c>
      <c r="T134" s="243"/>
      <c r="U134" s="240">
        <v>30000</v>
      </c>
      <c r="V134" s="240">
        <v>18750</v>
      </c>
      <c r="W134" s="242">
        <f t="shared" ref="W134:W140" si="41">IF(V134=0,"NA",(+U134-V134)/V134)</f>
        <v>0.6</v>
      </c>
      <c r="X134" s="244" t="s">
        <v>399</v>
      </c>
      <c r="Y134" s="58" t="s">
        <v>134</v>
      </c>
    </row>
    <row r="135" spans="1:36">
      <c r="C135" s="248" t="s">
        <v>41</v>
      </c>
      <c r="D135" s="258"/>
      <c r="E135" s="259"/>
      <c r="F135" s="260"/>
      <c r="G135" s="260"/>
      <c r="H135" s="299"/>
      <c r="I135" s="299"/>
      <c r="J135" s="299"/>
      <c r="K135" s="299"/>
      <c r="L135" s="299"/>
      <c r="M135" s="299"/>
      <c r="N135" s="299"/>
      <c r="O135" s="248"/>
      <c r="P135" s="266">
        <v>0</v>
      </c>
      <c r="Q135" s="245">
        <v>0</v>
      </c>
      <c r="R135" s="246">
        <f t="shared" si="39"/>
        <v>0</v>
      </c>
      <c r="S135" s="247" t="str">
        <f>IF(Q135=0,"NA",(+P135-Q135)/Q135)</f>
        <v>NA</v>
      </c>
      <c r="T135" s="248"/>
      <c r="U135" s="245">
        <v>0</v>
      </c>
      <c r="V135" s="245">
        <v>0</v>
      </c>
      <c r="W135" s="247" t="str">
        <f t="shared" si="41"/>
        <v>NA</v>
      </c>
      <c r="X135" s="249"/>
      <c r="Y135" s="58"/>
      <c r="Z135" s="1">
        <v>0</v>
      </c>
    </row>
    <row r="136" spans="1:36">
      <c r="C136" s="248" t="s">
        <v>43</v>
      </c>
      <c r="D136" s="258"/>
      <c r="E136" s="259"/>
      <c r="F136" s="260"/>
      <c r="G136" s="260"/>
      <c r="H136" s="299"/>
      <c r="I136" s="299"/>
      <c r="J136" s="299"/>
      <c r="K136" s="299"/>
      <c r="L136" s="299"/>
      <c r="M136" s="299"/>
      <c r="N136" s="299"/>
      <c r="O136" s="248"/>
      <c r="P136" s="266">
        <v>0</v>
      </c>
      <c r="Q136" s="245">
        <v>0</v>
      </c>
      <c r="R136" s="246">
        <f t="shared" si="39"/>
        <v>0</v>
      </c>
      <c r="S136" s="247" t="str">
        <f>IF(Q136=0,"NA",(+P136-Q136)/Q136)</f>
        <v>NA</v>
      </c>
      <c r="T136" s="248"/>
      <c r="U136" s="245">
        <v>412.85</v>
      </c>
      <c r="V136" s="245">
        <v>0</v>
      </c>
      <c r="W136" s="247" t="str">
        <f t="shared" si="41"/>
        <v>NA</v>
      </c>
      <c r="X136" s="249" t="s">
        <v>500</v>
      </c>
      <c r="Y136" s="58"/>
    </row>
    <row r="137" spans="1:36">
      <c r="C137" s="248" t="s">
        <v>226</v>
      </c>
      <c r="D137" s="258"/>
      <c r="E137" s="259"/>
      <c r="F137" s="260"/>
      <c r="G137" s="260"/>
      <c r="H137" s="260"/>
      <c r="I137" s="260"/>
      <c r="J137" s="260"/>
      <c r="K137" s="260"/>
      <c r="L137" s="260"/>
      <c r="M137" s="260"/>
      <c r="N137" s="260"/>
      <c r="O137" s="294"/>
      <c r="P137" s="266">
        <v>0</v>
      </c>
      <c r="Q137" s="266">
        <v>200</v>
      </c>
      <c r="R137" s="246">
        <f t="shared" si="39"/>
        <v>-200</v>
      </c>
      <c r="S137" s="247">
        <f>IF(Q137=0,"NA",(+P137-Q137)/Q137)</f>
        <v>-1</v>
      </c>
      <c r="T137" s="248"/>
      <c r="U137" s="245">
        <v>240</v>
      </c>
      <c r="V137" s="245">
        <v>200</v>
      </c>
      <c r="W137" s="247">
        <f t="shared" si="41"/>
        <v>0.2</v>
      </c>
      <c r="X137" s="249" t="s">
        <v>237</v>
      </c>
      <c r="Y137" s="62"/>
    </row>
    <row r="138" spans="1:36">
      <c r="C138" s="248" t="s">
        <v>107</v>
      </c>
      <c r="D138" s="258"/>
      <c r="E138" s="259"/>
      <c r="F138" s="260"/>
      <c r="G138" s="260"/>
      <c r="H138" s="299"/>
      <c r="I138" s="299"/>
      <c r="J138" s="299"/>
      <c r="K138" s="299"/>
      <c r="L138" s="299"/>
      <c r="M138" s="299"/>
      <c r="N138" s="299"/>
      <c r="O138" s="248"/>
      <c r="P138" s="266">
        <v>0</v>
      </c>
      <c r="Q138" s="245">
        <v>0</v>
      </c>
      <c r="R138" s="246">
        <f t="shared" si="39"/>
        <v>0</v>
      </c>
      <c r="S138" s="247" t="str">
        <f>IF(Q138=0,"NA",(+P138-Q138)/Q138)</f>
        <v>NA</v>
      </c>
      <c r="T138" s="248"/>
      <c r="U138" s="245">
        <v>0</v>
      </c>
      <c r="V138" s="245">
        <v>0</v>
      </c>
      <c r="W138" s="247" t="str">
        <f t="shared" si="41"/>
        <v>NA</v>
      </c>
      <c r="X138" s="249"/>
      <c r="Y138" s="58"/>
      <c r="Z138" s="1">
        <v>0</v>
      </c>
    </row>
    <row r="139" spans="1:36">
      <c r="A139" s="43">
        <v>90</v>
      </c>
      <c r="C139" s="253" t="s">
        <v>233</v>
      </c>
      <c r="D139" s="261"/>
      <c r="E139" s="262"/>
      <c r="F139" s="263"/>
      <c r="G139" s="263"/>
      <c r="H139" s="263"/>
      <c r="I139" s="263"/>
      <c r="J139" s="263"/>
      <c r="K139" s="263"/>
      <c r="L139" s="263"/>
      <c r="M139" s="263"/>
      <c r="N139" s="263"/>
      <c r="O139" s="253"/>
      <c r="P139" s="267">
        <v>0</v>
      </c>
      <c r="Q139" s="250">
        <v>0</v>
      </c>
      <c r="R139" s="251">
        <f t="shared" si="39"/>
        <v>0</v>
      </c>
      <c r="S139" s="252" t="str">
        <f t="shared" si="40"/>
        <v>NA</v>
      </c>
      <c r="T139" s="253"/>
      <c r="U139" s="250">
        <v>0</v>
      </c>
      <c r="V139" s="250">
        <v>0</v>
      </c>
      <c r="W139" s="252" t="str">
        <f t="shared" si="41"/>
        <v>NA</v>
      </c>
      <c r="X139" s="254" t="s">
        <v>234</v>
      </c>
      <c r="Y139" s="59"/>
      <c r="Z139" s="1">
        <v>18950</v>
      </c>
      <c r="AD139" s="408">
        <v>0.4</v>
      </c>
      <c r="AE139" s="408">
        <v>0.4</v>
      </c>
      <c r="AF139" s="408">
        <v>0.2</v>
      </c>
      <c r="AH139" s="35">
        <f>+AD139</f>
        <v>0.4</v>
      </c>
      <c r="AI139" s="35">
        <f>+AE139</f>
        <v>0.4</v>
      </c>
      <c r="AJ139" s="35">
        <f>+AF139</f>
        <v>0.2</v>
      </c>
    </row>
    <row r="140" spans="1:36" s="2" customFormat="1">
      <c r="A140" s="43">
        <v>91</v>
      </c>
      <c r="B140" s="24" t="s">
        <v>193</v>
      </c>
      <c r="C140" s="24"/>
      <c r="D140" s="24"/>
      <c r="E140" s="88"/>
      <c r="F140" s="88"/>
      <c r="G140" s="88"/>
      <c r="H140" s="88"/>
      <c r="I140" s="88"/>
      <c r="J140" s="88"/>
      <c r="K140" s="88"/>
      <c r="L140" s="88"/>
      <c r="M140" s="88"/>
      <c r="N140" s="88"/>
      <c r="O140" s="24"/>
      <c r="P140" s="24">
        <f>SUM(P134:P139)</f>
        <v>0</v>
      </c>
      <c r="Q140" s="24">
        <f>SUM(Q134:Q139)</f>
        <v>18950</v>
      </c>
      <c r="R140" s="24">
        <f>SUM(R134:R139)</f>
        <v>-18950</v>
      </c>
      <c r="S140" s="25">
        <f t="shared" si="40"/>
        <v>-1</v>
      </c>
      <c r="U140" s="24">
        <f>SUM(U134:U139)</f>
        <v>30652.85</v>
      </c>
      <c r="V140" s="24">
        <f>SUM(V134:V139)</f>
        <v>18950</v>
      </c>
      <c r="W140" s="25">
        <f t="shared" si="41"/>
        <v>0.61756464379947218</v>
      </c>
      <c r="X140" s="74"/>
      <c r="Y140" s="61"/>
      <c r="AD140" s="2">
        <f>+$P140*AD139</f>
        <v>0</v>
      </c>
      <c r="AE140" s="2">
        <f t="shared" ref="AE140:AF140" si="42">+$P140*AE139</f>
        <v>0</v>
      </c>
      <c r="AF140" s="2">
        <f t="shared" si="42"/>
        <v>0</v>
      </c>
      <c r="AH140" s="2">
        <f>+U140*AH139</f>
        <v>12261.14</v>
      </c>
      <c r="AI140" s="2">
        <f>+U140*AI139</f>
        <v>12261.14</v>
      </c>
      <c r="AJ140" s="2">
        <f>+U140*AJ139</f>
        <v>6130.57</v>
      </c>
    </row>
    <row r="141" spans="1:36" ht="4.5" customHeight="1">
      <c r="A141" s="43">
        <v>92</v>
      </c>
      <c r="S141" s="5"/>
      <c r="X141" s="73"/>
      <c r="Y141" s="59"/>
    </row>
    <row r="142" spans="1:36" ht="4.5" customHeight="1">
      <c r="S142" s="39"/>
      <c r="W142" s="39"/>
      <c r="X142" s="73"/>
      <c r="Y142" s="59"/>
    </row>
    <row r="143" spans="1:36">
      <c r="A143" s="43">
        <v>93</v>
      </c>
      <c r="B143" s="2" t="s">
        <v>165</v>
      </c>
      <c r="S143" s="5"/>
      <c r="X143" s="73"/>
      <c r="Y143" s="59"/>
    </row>
    <row r="144" spans="1:36" ht="14.4" customHeight="1">
      <c r="A144" s="43">
        <v>94</v>
      </c>
      <c r="C144" s="243" t="s">
        <v>42</v>
      </c>
      <c r="D144" s="255"/>
      <c r="E144" s="256"/>
      <c r="F144" s="300"/>
      <c r="G144" s="300"/>
      <c r="H144" s="298">
        <f>ROUND(+$Q144*(1+$F$106),0)</f>
        <v>8931</v>
      </c>
      <c r="I144" s="298"/>
      <c r="J144" s="298"/>
      <c r="K144" s="298"/>
      <c r="L144" s="298"/>
      <c r="M144" s="298"/>
      <c r="N144" s="298"/>
      <c r="O144" s="243"/>
      <c r="P144" s="268">
        <v>0</v>
      </c>
      <c r="Q144" s="240">
        <v>8843</v>
      </c>
      <c r="R144" s="241">
        <f>+P144-Q144</f>
        <v>-8843</v>
      </c>
      <c r="S144" s="242">
        <f>IF(Q144=0,"NA",(+P144-Q144)/Q144)</f>
        <v>-1</v>
      </c>
      <c r="T144" s="243"/>
      <c r="U144" s="240">
        <v>7958.7</v>
      </c>
      <c r="V144" s="240">
        <v>8843</v>
      </c>
      <c r="W144" s="242">
        <f>IF(V144=0,"NA",(+U144-V144)/V144)</f>
        <v>-0.10000000000000002</v>
      </c>
      <c r="X144" s="244" t="s">
        <v>354</v>
      </c>
      <c r="Y144" s="58" t="s">
        <v>120</v>
      </c>
      <c r="AE144" s="1">
        <f>+$P144</f>
        <v>0</v>
      </c>
      <c r="AI144" s="1">
        <f>+$U144</f>
        <v>7958.7</v>
      </c>
    </row>
    <row r="145" spans="1:37" ht="44.5" customHeight="1">
      <c r="A145" s="43">
        <v>95</v>
      </c>
      <c r="C145" s="253" t="s">
        <v>44</v>
      </c>
      <c r="D145" s="261"/>
      <c r="E145" s="301">
        <v>2</v>
      </c>
      <c r="F145" s="302">
        <f>ROUND(+J145*(1+H145),2)</f>
        <v>10</v>
      </c>
      <c r="G145" s="301">
        <v>40</v>
      </c>
      <c r="H145" s="303">
        <v>0</v>
      </c>
      <c r="I145" s="301">
        <v>4</v>
      </c>
      <c r="J145" s="304">
        <v>10</v>
      </c>
      <c r="K145" s="301">
        <v>40</v>
      </c>
      <c r="L145" s="252">
        <f>IF(M145=0,0,(+J145-M145)/M145)</f>
        <v>0</v>
      </c>
      <c r="M145" s="305">
        <v>10</v>
      </c>
      <c r="N145" s="305"/>
      <c r="O145" s="253"/>
      <c r="P145" s="267">
        <v>800</v>
      </c>
      <c r="Q145" s="267">
        <v>800</v>
      </c>
      <c r="R145" s="251">
        <f>+P145-Q145</f>
        <v>0</v>
      </c>
      <c r="S145" s="252">
        <f>IF(Q145=0,"NA",(+P145-Q145)/Q145)</f>
        <v>0</v>
      </c>
      <c r="T145" s="253"/>
      <c r="U145" s="267">
        <v>572.33000000000004</v>
      </c>
      <c r="V145" s="250">
        <v>711.12</v>
      </c>
      <c r="W145" s="252">
        <f>IF(V145=0,"NA",(+U145-V145)/V145)</f>
        <v>-0.19517099786252667</v>
      </c>
      <c r="X145" s="324" t="str">
        <f>"Matt Nelson (not taking), Alyssa and Wendy at:  "&amp;Bud_Yr&amp;":  avg "&amp;E145&amp;" hrs/week at $"&amp;F145&amp;"/hr ("&amp;ROUND(H145*100,1)&amp;"% incr.) for "&amp;G145&amp;" weeks (Sept-May, excluding Lent).  "&amp;Bud_Yr-1&amp;":  avg "&amp;I145&amp;" hrs/week at $"&amp;J145&amp;"/hr ("&amp;ROUND(L145*100,1)&amp;"% incr.) for "&amp;K145&amp;" weeks.   "</f>
        <v xml:space="preserve">Matt Nelson (not taking), Alyssa and Wendy at:  2021:  avg 2 hrs/week at $10/hr (0% incr.) for 40 weeks (Sept-May, excluding Lent).  2020:  avg 4 hrs/week at $10/hr (0% incr.) for 40 weeks.   </v>
      </c>
      <c r="Y145" s="1" t="s">
        <v>121</v>
      </c>
      <c r="AE145" s="1">
        <f>+$P145</f>
        <v>800</v>
      </c>
      <c r="AI145" s="1">
        <f>+$U145</f>
        <v>572.33000000000004</v>
      </c>
    </row>
    <row r="146" spans="1:37" s="2" customFormat="1">
      <c r="A146" s="43">
        <v>96</v>
      </c>
      <c r="B146" s="24" t="s">
        <v>45</v>
      </c>
      <c r="C146" s="24"/>
      <c r="D146" s="24"/>
      <c r="E146" s="88"/>
      <c r="F146" s="88"/>
      <c r="G146" s="88"/>
      <c r="H146" s="88"/>
      <c r="I146" s="88"/>
      <c r="J146" s="88"/>
      <c r="K146" s="88"/>
      <c r="L146" s="88"/>
      <c r="M146" s="88"/>
      <c r="N146" s="88"/>
      <c r="O146" s="24"/>
      <c r="P146" s="24">
        <f>SUM(P144:P145)</f>
        <v>800</v>
      </c>
      <c r="Q146" s="24">
        <f>SUM(Q144:Q145)</f>
        <v>9643</v>
      </c>
      <c r="R146" s="24">
        <f>SUM(R144:R145)</f>
        <v>-8843</v>
      </c>
      <c r="S146" s="25">
        <f>IF(Q146=0,"NA",(+P146-Q146)/Q146)</f>
        <v>-0.91703826609976147</v>
      </c>
      <c r="U146" s="24">
        <f>SUM(U144:U145)</f>
        <v>8531.0300000000007</v>
      </c>
      <c r="V146" s="24">
        <f>SUM(V144:V145)</f>
        <v>9554.1200000000008</v>
      </c>
      <c r="W146" s="25">
        <f>IF(V146=0,"NA",(+U146-V146)/V146)</f>
        <v>-0.10708364558954671</v>
      </c>
      <c r="X146" s="74"/>
      <c r="Y146" s="61"/>
      <c r="Z146" s="1"/>
    </row>
    <row r="147" spans="1:37" ht="6" customHeight="1">
      <c r="A147" s="43">
        <v>97</v>
      </c>
      <c r="S147" s="5"/>
      <c r="X147" s="73"/>
      <c r="Y147" s="59"/>
    </row>
    <row r="148" spans="1:37">
      <c r="A148" s="43">
        <v>107</v>
      </c>
      <c r="B148" s="2" t="s">
        <v>46</v>
      </c>
      <c r="S148" s="5"/>
      <c r="X148" s="73"/>
      <c r="Y148" s="59"/>
    </row>
    <row r="149" spans="1:37">
      <c r="A149" s="43">
        <v>108</v>
      </c>
      <c r="C149" s="243" t="s">
        <v>109</v>
      </c>
      <c r="D149" s="255"/>
      <c r="E149" s="256"/>
      <c r="F149" s="257"/>
      <c r="G149" s="257"/>
      <c r="H149" s="257"/>
      <c r="I149" s="257"/>
      <c r="J149" s="257"/>
      <c r="K149" s="257"/>
      <c r="L149" s="257"/>
      <c r="M149" s="257"/>
      <c r="N149" s="257"/>
      <c r="O149" s="306"/>
      <c r="P149" s="274">
        <f>ROUND(+Q149*(1+$F$106),0)</f>
        <v>16398</v>
      </c>
      <c r="Q149" s="240">
        <v>16236</v>
      </c>
      <c r="R149" s="241">
        <f t="shared" ref="R149:R157" si="43">+P149-Q149</f>
        <v>162</v>
      </c>
      <c r="S149" s="242">
        <f t="shared" ref="S149:S158" si="44">IF(Q149=0,"NA",(+P149-Q149)/Q149)</f>
        <v>9.9778270509977823E-3</v>
      </c>
      <c r="T149" s="243"/>
      <c r="U149" s="240">
        <v>14883</v>
      </c>
      <c r="V149" s="240">
        <v>14883</v>
      </c>
      <c r="W149" s="242">
        <f t="shared" ref="W149:W158" si="45">IF(V149=0,"NA",(+U149-V149)/V149)</f>
        <v>0</v>
      </c>
      <c r="X149" s="244" t="s">
        <v>400</v>
      </c>
      <c r="Y149" s="58" t="s">
        <v>147</v>
      </c>
      <c r="Z149" s="2"/>
      <c r="AD149" s="1">
        <f t="shared" ref="AD149:AE157" si="46">+$P149</f>
        <v>16398</v>
      </c>
      <c r="AH149" s="1">
        <f t="shared" ref="AH149:AI157" si="47">+$U149</f>
        <v>14883</v>
      </c>
    </row>
    <row r="150" spans="1:37">
      <c r="C150" s="243" t="s">
        <v>240</v>
      </c>
      <c r="D150" s="255"/>
      <c r="E150" s="256"/>
      <c r="F150" s="257"/>
      <c r="G150" s="257"/>
      <c r="H150" s="257"/>
      <c r="I150" s="257"/>
      <c r="J150" s="257"/>
      <c r="K150" s="257"/>
      <c r="L150" s="257"/>
      <c r="M150" s="257"/>
      <c r="N150" s="257"/>
      <c r="O150" s="306"/>
      <c r="P150" s="274">
        <f>+'Band and Other Music'!E13</f>
        <v>3091</v>
      </c>
      <c r="Q150" s="241">
        <f>+'Band and Other Music'!D13</f>
        <v>3060</v>
      </c>
      <c r="R150" s="241">
        <f>+P150-Q150</f>
        <v>31</v>
      </c>
      <c r="S150" s="242">
        <f>IF(Q150=0,"NA",(+P150-Q150)/Q150)</f>
        <v>1.0130718954248366E-2</v>
      </c>
      <c r="T150" s="243"/>
      <c r="U150" s="240">
        <v>2800</v>
      </c>
      <c r="V150" s="240">
        <v>2805</v>
      </c>
      <c r="W150" s="242">
        <f>IF(V150=0,"NA",(+U150-V150)/V150)</f>
        <v>-1.7825311942959001E-3</v>
      </c>
      <c r="X150" s="244" t="s">
        <v>401</v>
      </c>
      <c r="Y150" s="58" t="s">
        <v>147</v>
      </c>
      <c r="AD150" s="1">
        <f t="shared" si="46"/>
        <v>3091</v>
      </c>
      <c r="AH150" s="1">
        <f t="shared" si="47"/>
        <v>2800</v>
      </c>
    </row>
    <row r="151" spans="1:37">
      <c r="A151" s="43">
        <v>109</v>
      </c>
      <c r="C151" s="248" t="s">
        <v>47</v>
      </c>
      <c r="D151" s="258"/>
      <c r="E151" s="259"/>
      <c r="F151" s="260"/>
      <c r="G151" s="260"/>
      <c r="H151" s="260"/>
      <c r="I151" s="260"/>
      <c r="J151" s="260"/>
      <c r="K151" s="260"/>
      <c r="L151" s="260"/>
      <c r="M151" s="260"/>
      <c r="N151" s="260"/>
      <c r="O151" s="307"/>
      <c r="P151" s="245">
        <v>500</v>
      </c>
      <c r="Q151" s="245">
        <v>500</v>
      </c>
      <c r="R151" s="246">
        <f t="shared" si="43"/>
        <v>0</v>
      </c>
      <c r="S151" s="247">
        <f t="shared" si="44"/>
        <v>0</v>
      </c>
      <c r="T151" s="248"/>
      <c r="U151" s="245">
        <v>0</v>
      </c>
      <c r="V151" s="245">
        <v>458.37</v>
      </c>
      <c r="W151" s="247">
        <f t="shared" si="45"/>
        <v>-1</v>
      </c>
      <c r="X151" s="308"/>
      <c r="Y151" s="58" t="s">
        <v>150</v>
      </c>
      <c r="AD151" s="1">
        <f t="shared" si="46"/>
        <v>500</v>
      </c>
      <c r="AH151" s="1">
        <f t="shared" si="47"/>
        <v>0</v>
      </c>
    </row>
    <row r="152" spans="1:37" ht="28.5" customHeight="1">
      <c r="A152" s="43">
        <v>110</v>
      </c>
      <c r="C152" s="248" t="s">
        <v>48</v>
      </c>
      <c r="D152" s="258"/>
      <c r="E152" s="259"/>
      <c r="F152" s="260"/>
      <c r="G152" s="260"/>
      <c r="H152" s="260"/>
      <c r="I152" s="260"/>
      <c r="J152" s="260"/>
      <c r="K152" s="260"/>
      <c r="L152" s="260"/>
      <c r="M152" s="260"/>
      <c r="N152" s="260"/>
      <c r="O152" s="307"/>
      <c r="P152" s="282">
        <f>+'Band and Other Music'!E30</f>
        <v>13800</v>
      </c>
      <c r="Q152" s="241">
        <f>+'Band and Other Music'!E30</f>
        <v>13800</v>
      </c>
      <c r="R152" s="246">
        <f t="shared" si="43"/>
        <v>0</v>
      </c>
      <c r="S152" s="247">
        <f t="shared" si="44"/>
        <v>0</v>
      </c>
      <c r="T152" s="248"/>
      <c r="U152" s="245">
        <v>5745</v>
      </c>
      <c r="V152" s="245">
        <v>12266.64</v>
      </c>
      <c r="W152" s="247">
        <f t="shared" si="45"/>
        <v>-0.53165659055780556</v>
      </c>
      <c r="X152" s="249" t="s">
        <v>369</v>
      </c>
      <c r="Y152" s="58" t="s">
        <v>149</v>
      </c>
      <c r="AD152" s="1">
        <f t="shared" si="46"/>
        <v>13800</v>
      </c>
      <c r="AH152" s="1">
        <f t="shared" si="47"/>
        <v>5745</v>
      </c>
    </row>
    <row r="153" spans="1:37" ht="29">
      <c r="A153" s="43">
        <v>110</v>
      </c>
      <c r="C153" s="772" t="s">
        <v>307</v>
      </c>
      <c r="D153" s="772"/>
      <c r="E153" s="259"/>
      <c r="F153" s="260"/>
      <c r="G153" s="260"/>
      <c r="H153" s="260"/>
      <c r="I153" s="260"/>
      <c r="J153" s="260"/>
      <c r="K153" s="260"/>
      <c r="L153" s="260"/>
      <c r="M153" s="260"/>
      <c r="N153" s="260"/>
      <c r="O153" s="307"/>
      <c r="P153" s="282">
        <f>+'Band and Other Music'!E53</f>
        <v>3000</v>
      </c>
      <c r="Q153" s="241">
        <f>+'Band and Other Music'!E53</f>
        <v>3000</v>
      </c>
      <c r="R153" s="246">
        <f>+P153-Q153</f>
        <v>0</v>
      </c>
      <c r="S153" s="247">
        <f>IF(Q153=0,"NA",(+P153-Q153)/Q153)</f>
        <v>0</v>
      </c>
      <c r="T153" s="248"/>
      <c r="U153" s="245">
        <v>-115</v>
      </c>
      <c r="V153" s="245">
        <v>3000</v>
      </c>
      <c r="W153" s="247">
        <f>IF(V153=0,"NA",(+U153-V153)/V153)</f>
        <v>-1.0383333333333333</v>
      </c>
      <c r="X153" s="249" t="s">
        <v>341</v>
      </c>
      <c r="Y153" s="58" t="s">
        <v>149</v>
      </c>
      <c r="AD153" s="1">
        <f t="shared" si="46"/>
        <v>3000</v>
      </c>
      <c r="AH153" s="1">
        <f t="shared" si="47"/>
        <v>-115</v>
      </c>
    </row>
    <row r="154" spans="1:37">
      <c r="C154" s="248" t="s">
        <v>302</v>
      </c>
      <c r="D154" s="258"/>
      <c r="E154" s="259"/>
      <c r="F154" s="260"/>
      <c r="G154" s="260"/>
      <c r="H154" s="260"/>
      <c r="I154" s="260"/>
      <c r="J154" s="260"/>
      <c r="K154" s="260"/>
      <c r="L154" s="260"/>
      <c r="M154" s="260"/>
      <c r="N154" s="260"/>
      <c r="O154" s="307"/>
      <c r="P154" s="282">
        <f>+'Band and Other Music'!E42</f>
        <v>3375</v>
      </c>
      <c r="Q154" s="241">
        <f>+'Band and Other Music'!E42</f>
        <v>3375</v>
      </c>
      <c r="R154" s="246">
        <f>+P154-Q154</f>
        <v>0</v>
      </c>
      <c r="S154" s="247">
        <f>IF(Q154=0,"NA",(+P154-Q154)/Q154)</f>
        <v>0</v>
      </c>
      <c r="T154" s="248"/>
      <c r="U154" s="245">
        <v>400</v>
      </c>
      <c r="V154" s="245">
        <v>3093.75</v>
      </c>
      <c r="W154" s="247">
        <f>IF(V154=0,"NA",(+U154-V154)/V154)</f>
        <v>-0.87070707070707065</v>
      </c>
      <c r="X154" s="308" t="s">
        <v>340</v>
      </c>
      <c r="Y154" s="58"/>
      <c r="AD154" s="1">
        <f t="shared" si="46"/>
        <v>3375</v>
      </c>
      <c r="AH154" s="1">
        <f t="shared" si="47"/>
        <v>400</v>
      </c>
    </row>
    <row r="155" spans="1:37">
      <c r="A155" s="43">
        <v>111</v>
      </c>
      <c r="C155" s="248" t="s">
        <v>49</v>
      </c>
      <c r="D155" s="258"/>
      <c r="E155" s="259"/>
      <c r="F155" s="260"/>
      <c r="G155" s="260"/>
      <c r="H155" s="260"/>
      <c r="I155" s="260"/>
      <c r="J155" s="260"/>
      <c r="K155" s="260"/>
      <c r="L155" s="260"/>
      <c r="M155" s="260"/>
      <c r="N155" s="260"/>
      <c r="O155" s="307"/>
      <c r="P155" s="282">
        <f>ROUND(+Q155*(1+$F$106),0)</f>
        <v>7710</v>
      </c>
      <c r="Q155" s="240">
        <v>7634</v>
      </c>
      <c r="R155" s="246">
        <f t="shared" si="43"/>
        <v>76</v>
      </c>
      <c r="S155" s="247">
        <f t="shared" si="44"/>
        <v>9.9554624050301292E-3</v>
      </c>
      <c r="T155" s="248"/>
      <c r="U155" s="245">
        <v>1908.5</v>
      </c>
      <c r="V155" s="245">
        <v>6870.6</v>
      </c>
      <c r="W155" s="247">
        <f t="shared" si="45"/>
        <v>-0.72222222222222221</v>
      </c>
      <c r="X155" s="249" t="s">
        <v>394</v>
      </c>
      <c r="Y155" s="58" t="s">
        <v>148</v>
      </c>
      <c r="Z155" s="2"/>
      <c r="AD155" s="1">
        <f t="shared" si="46"/>
        <v>7710</v>
      </c>
      <c r="AH155" s="1">
        <f t="shared" si="47"/>
        <v>1908.5</v>
      </c>
    </row>
    <row r="156" spans="1:37" ht="29">
      <c r="A156" s="43">
        <v>112</v>
      </c>
      <c r="C156" s="248" t="s">
        <v>50</v>
      </c>
      <c r="D156" s="258"/>
      <c r="E156" s="777" t="s">
        <v>162</v>
      </c>
      <c r="F156" s="778"/>
      <c r="G156" s="778"/>
      <c r="H156" s="778"/>
      <c r="I156" s="778"/>
      <c r="J156" s="778"/>
      <c r="K156" s="778"/>
      <c r="L156" s="778"/>
      <c r="M156" s="778"/>
      <c r="N156" s="778"/>
      <c r="O156" s="778"/>
      <c r="P156" s="266">
        <v>1500</v>
      </c>
      <c r="Q156" s="245">
        <v>1500</v>
      </c>
      <c r="R156" s="246">
        <f t="shared" si="43"/>
        <v>0</v>
      </c>
      <c r="S156" s="247">
        <f t="shared" si="44"/>
        <v>0</v>
      </c>
      <c r="T156" s="248"/>
      <c r="U156" s="245">
        <v>0</v>
      </c>
      <c r="V156" s="245">
        <v>1333.36</v>
      </c>
      <c r="W156" s="247">
        <f t="shared" si="45"/>
        <v>-1</v>
      </c>
      <c r="X156" s="249" t="s">
        <v>402</v>
      </c>
      <c r="Y156" s="58" t="s">
        <v>150</v>
      </c>
      <c r="AE156" s="1">
        <f t="shared" si="46"/>
        <v>1500</v>
      </c>
      <c r="AI156" s="1">
        <f t="shared" si="47"/>
        <v>0</v>
      </c>
    </row>
    <row r="157" spans="1:37">
      <c r="A157" s="43">
        <v>113</v>
      </c>
      <c r="C157" s="253" t="s">
        <v>110</v>
      </c>
      <c r="D157" s="261"/>
      <c r="E157" s="775">
        <f>Bud_Yr</f>
        <v>2021</v>
      </c>
      <c r="F157" s="776"/>
      <c r="G157" s="776"/>
      <c r="H157" s="776"/>
      <c r="I157" s="776">
        <f>Bud_Yr-1</f>
        <v>2020</v>
      </c>
      <c r="J157" s="776"/>
      <c r="K157" s="776"/>
      <c r="L157" s="776"/>
      <c r="M157" s="309">
        <f>Bud_Yr-2</f>
        <v>2019</v>
      </c>
      <c r="N157" s="309">
        <f>+M157-1</f>
        <v>2018</v>
      </c>
      <c r="O157" s="309">
        <f>+N157-1</f>
        <v>2017</v>
      </c>
      <c r="P157" s="296">
        <f>ROUND(+Q157*(1+$F$107),0)</f>
        <v>2759</v>
      </c>
      <c r="Q157" s="241">
        <v>2759</v>
      </c>
      <c r="R157" s="251">
        <f t="shared" si="43"/>
        <v>0</v>
      </c>
      <c r="S157" s="252">
        <f t="shared" si="44"/>
        <v>0</v>
      </c>
      <c r="T157" s="253"/>
      <c r="U157" s="250">
        <v>608.64</v>
      </c>
      <c r="V157" s="250">
        <v>2529.12</v>
      </c>
      <c r="W157" s="252">
        <f t="shared" si="45"/>
        <v>-0.75934712469159238</v>
      </c>
      <c r="X157" s="254" t="s">
        <v>183</v>
      </c>
      <c r="Y157" s="58" t="s">
        <v>150</v>
      </c>
      <c r="AD157" s="1">
        <f t="shared" si="46"/>
        <v>2759</v>
      </c>
      <c r="AH157" s="1">
        <f t="shared" si="47"/>
        <v>608.64</v>
      </c>
    </row>
    <row r="158" spans="1:37" s="2" customFormat="1" ht="15" thickBot="1">
      <c r="A158" s="43">
        <v>114</v>
      </c>
      <c r="B158" s="24" t="s">
        <v>51</v>
      </c>
      <c r="C158" s="24"/>
      <c r="D158" s="24"/>
      <c r="E158" s="96" t="s">
        <v>160</v>
      </c>
      <c r="F158" s="97" t="s">
        <v>161</v>
      </c>
      <c r="G158" s="97" t="s">
        <v>164</v>
      </c>
      <c r="H158" s="97" t="s">
        <v>159</v>
      </c>
      <c r="I158" s="97" t="s">
        <v>160</v>
      </c>
      <c r="J158" s="97" t="s">
        <v>161</v>
      </c>
      <c r="K158" s="97" t="s">
        <v>164</v>
      </c>
      <c r="L158" s="97" t="s">
        <v>159</v>
      </c>
      <c r="M158" s="98" t="s">
        <v>161</v>
      </c>
      <c r="N158" s="98" t="s">
        <v>161</v>
      </c>
      <c r="O158" s="98" t="s">
        <v>161</v>
      </c>
      <c r="P158" s="24">
        <f>SUM(P149:P157)</f>
        <v>52133</v>
      </c>
      <c r="Q158" s="24">
        <f>SUM(Q149:Q157)</f>
        <v>51864</v>
      </c>
      <c r="R158" s="24">
        <f>SUM(R149:R157)</f>
        <v>269</v>
      </c>
      <c r="S158" s="25">
        <f t="shared" si="44"/>
        <v>5.1866419867345366E-3</v>
      </c>
      <c r="U158" s="24">
        <f>SUM(U149:U157)</f>
        <v>26230.14</v>
      </c>
      <c r="V158" s="24">
        <f>SUM(V149:V157)</f>
        <v>47239.839999999997</v>
      </c>
      <c r="W158" s="25">
        <f t="shared" si="45"/>
        <v>-0.44474536746949184</v>
      </c>
      <c r="X158" s="74"/>
      <c r="Y158" s="61"/>
      <c r="Z158" s="1"/>
      <c r="AC158" s="2" t="s">
        <v>528</v>
      </c>
      <c r="AD158" s="408">
        <v>0.33300000000000002</v>
      </c>
      <c r="AE158" s="408">
        <v>0.33300000000000002</v>
      </c>
      <c r="AF158" s="408">
        <v>0.33400000000000002</v>
      </c>
      <c r="AG158" s="1"/>
      <c r="AH158" s="35">
        <f>+AD158</f>
        <v>0.33300000000000002</v>
      </c>
      <c r="AI158" s="35">
        <f>+AE158</f>
        <v>0.33300000000000002</v>
      </c>
      <c r="AJ158" s="35">
        <f>+AF158</f>
        <v>0.33400000000000002</v>
      </c>
      <c r="AK158" s="1"/>
    </row>
    <row r="159" spans="1:37" ht="6.75" customHeight="1">
      <c r="A159" s="43">
        <v>115</v>
      </c>
      <c r="S159" s="5"/>
      <c r="X159" s="73"/>
      <c r="Y159" s="59"/>
    </row>
    <row r="160" spans="1:37" ht="14.25" customHeight="1">
      <c r="A160" s="43">
        <v>116</v>
      </c>
      <c r="B160" s="2" t="s">
        <v>52</v>
      </c>
      <c r="O160" s="26"/>
      <c r="P160" s="26"/>
      <c r="Q160" s="26"/>
      <c r="R160" s="26"/>
      <c r="S160" s="5"/>
      <c r="X160" s="73"/>
      <c r="Y160" s="59"/>
      <c r="AC160" s="1" t="s">
        <v>239</v>
      </c>
      <c r="AD160" s="408">
        <v>0.3</v>
      </c>
      <c r="AE160" s="408">
        <v>0.3</v>
      </c>
      <c r="AF160" s="408">
        <v>0.3</v>
      </c>
      <c r="AG160" s="408">
        <v>0.1</v>
      </c>
      <c r="AH160" s="35">
        <f>+AD160</f>
        <v>0.3</v>
      </c>
      <c r="AI160" s="35">
        <f>+AE160</f>
        <v>0.3</v>
      </c>
      <c r="AJ160" s="35">
        <f>+AF160</f>
        <v>0.3</v>
      </c>
    </row>
    <row r="161" spans="1:37" ht="27.65" customHeight="1">
      <c r="C161" s="243" t="s">
        <v>415</v>
      </c>
      <c r="D161" s="255"/>
      <c r="E161" s="606">
        <v>40</v>
      </c>
      <c r="F161" s="607">
        <f>ROUND(+J161*(1+H161),2)</f>
        <v>17.510000000000002</v>
      </c>
      <c r="G161" s="606">
        <v>52</v>
      </c>
      <c r="H161" s="608">
        <f>+$F$106</f>
        <v>0.01</v>
      </c>
      <c r="I161" s="606">
        <v>40</v>
      </c>
      <c r="J161" s="609">
        <v>17.34</v>
      </c>
      <c r="K161" s="606">
        <v>52</v>
      </c>
      <c r="L161" s="242">
        <f>IF(M161=0,0,(+K161-M161)/M161)</f>
        <v>2.0588235294117645</v>
      </c>
      <c r="M161" s="610">
        <v>17</v>
      </c>
      <c r="N161" s="610"/>
      <c r="O161" s="306"/>
      <c r="P161" s="274">
        <f>ROUND(E161*F161*G161,0)</f>
        <v>36421</v>
      </c>
      <c r="Q161" s="274">
        <f>ROUND(I161*J161*K161,0)</f>
        <v>36067</v>
      </c>
      <c r="R161" s="241">
        <f>+P161-Q161</f>
        <v>354</v>
      </c>
      <c r="S161" s="242">
        <f>IF(Q161=0,"NA",(+P161-Q161)/Q161)</f>
        <v>9.8150664041921978E-3</v>
      </c>
      <c r="T161" s="243"/>
      <c r="U161" s="240">
        <v>33266.5</v>
      </c>
      <c r="V161" s="240">
        <v>33061.379999999997</v>
      </c>
      <c r="W161" s="242">
        <f>IF(V161=0,"NA",(+U161-V161)/V161)</f>
        <v>6.204217730778408E-3</v>
      </c>
      <c r="X161" s="244" t="s">
        <v>239</v>
      </c>
      <c r="Y161" s="69"/>
      <c r="AD161" s="1">
        <f>+$P161*AD$160</f>
        <v>10926.3</v>
      </c>
      <c r="AE161" s="1">
        <f t="shared" ref="AE161:AG161" si="48">+$P161*AE$160</f>
        <v>10926.3</v>
      </c>
      <c r="AF161" s="1">
        <f t="shared" si="48"/>
        <v>10926.3</v>
      </c>
      <c r="AG161" s="1">
        <f t="shared" si="48"/>
        <v>3642.1000000000004</v>
      </c>
      <c r="AH161" s="1">
        <f t="shared" ref="AH161:AJ162" si="49">+$U161*AH$158</f>
        <v>11077.744500000001</v>
      </c>
      <c r="AI161" s="1">
        <f t="shared" si="49"/>
        <v>11077.744500000001</v>
      </c>
      <c r="AJ161" s="1">
        <f t="shared" si="49"/>
        <v>11111.011</v>
      </c>
    </row>
    <row r="162" spans="1:37">
      <c r="A162" s="43">
        <v>122</v>
      </c>
      <c r="C162" s="248" t="s">
        <v>416</v>
      </c>
      <c r="D162" s="258"/>
      <c r="E162" s="310"/>
      <c r="F162" s="314"/>
      <c r="G162" s="310"/>
      <c r="H162" s="315"/>
      <c r="I162" s="310"/>
      <c r="J162" s="311"/>
      <c r="K162" s="310"/>
      <c r="L162" s="247"/>
      <c r="M162" s="313"/>
      <c r="N162" s="313"/>
      <c r="O162" s="246"/>
      <c r="P162" s="266">
        <v>1000</v>
      </c>
      <c r="Q162" s="266">
        <v>1000</v>
      </c>
      <c r="R162" s="246">
        <f>+P162-Q162</f>
        <v>0</v>
      </c>
      <c r="S162" s="247">
        <f>IF(Q162=0,"NA",(+P162-Q162)/Q162)</f>
        <v>0</v>
      </c>
      <c r="T162" s="248"/>
      <c r="U162" s="245">
        <v>257.33999999999997</v>
      </c>
      <c r="V162" s="245">
        <v>916.63</v>
      </c>
      <c r="W162" s="247">
        <f>IF(V162=0,"NA",(+U162-V162)/V162)</f>
        <v>-0.71925422471444311</v>
      </c>
      <c r="X162" s="249" t="s">
        <v>342</v>
      </c>
      <c r="Y162" s="62" t="s">
        <v>122</v>
      </c>
      <c r="AD162" s="1">
        <f>+$P162*AD$158</f>
        <v>333</v>
      </c>
      <c r="AE162" s="1">
        <f>+$P162*AE$158</f>
        <v>333</v>
      </c>
      <c r="AF162" s="1">
        <f>+$P162*AF$158</f>
        <v>334</v>
      </c>
      <c r="AH162" s="1">
        <f t="shared" si="49"/>
        <v>85.694220000000001</v>
      </c>
      <c r="AI162" s="1">
        <f t="shared" si="49"/>
        <v>85.694220000000001</v>
      </c>
      <c r="AJ162" s="1">
        <f t="shared" si="49"/>
        <v>85.951560000000001</v>
      </c>
    </row>
    <row r="163" spans="1:37" ht="29.4" customHeight="1">
      <c r="A163" s="43">
        <v>118</v>
      </c>
      <c r="C163" s="248" t="s">
        <v>54</v>
      </c>
      <c r="D163" s="258"/>
      <c r="E163" s="316">
        <v>25</v>
      </c>
      <c r="F163" s="314">
        <f>ROUND(+J163*(1+H163),2)</f>
        <v>13.78</v>
      </c>
      <c r="G163" s="310">
        <v>52</v>
      </c>
      <c r="H163" s="312">
        <f>+$F$106</f>
        <v>0.01</v>
      </c>
      <c r="I163" s="310">
        <v>25</v>
      </c>
      <c r="J163" s="311">
        <v>13.64</v>
      </c>
      <c r="K163" s="310">
        <v>52</v>
      </c>
      <c r="L163" s="247">
        <f>IF(M163=0,0,(+J163-M163)/M163)</f>
        <v>0</v>
      </c>
      <c r="M163" s="311">
        <v>13.64</v>
      </c>
      <c r="N163" s="311">
        <v>13.11</v>
      </c>
      <c r="O163" s="313">
        <v>12.85</v>
      </c>
      <c r="P163" s="282">
        <f>ROUND((E163*F163*G163)+(E164*F164*G164)+(E165*F165*G165),0)</f>
        <v>34490</v>
      </c>
      <c r="Q163" s="282">
        <f>ROUND((I163*J163*K163)+(I164*J164*K164)+(I165*J165*K165),0)</f>
        <v>34141</v>
      </c>
      <c r="R163" s="246">
        <f t="shared" ref="R163:R172" si="50">+P163-Q163</f>
        <v>349</v>
      </c>
      <c r="S163" s="247">
        <f t="shared" ref="S163:S174" si="51">IF(Q163=0,"NA",(+P163-Q163)/Q163)</f>
        <v>1.0222313347587945E-2</v>
      </c>
      <c r="T163" s="248"/>
      <c r="U163" s="266">
        <v>28275.17</v>
      </c>
      <c r="V163" s="245">
        <v>31295.88</v>
      </c>
      <c r="W163" s="247">
        <f t="shared" ref="W163:W174" si="52">IF(V163=0,"NA",(+U163-V163)/V163)</f>
        <v>-9.6521011711445809E-2</v>
      </c>
      <c r="X163" s="249" t="str">
        <f>"Marc Henkel:  "&amp;Bud_Yr&amp;":  avg "&amp;E163&amp;" hrs/week at $"&amp;F163&amp;"/hr ("&amp;ROUND(H163*100,1)&amp;"% incr.) for "&amp;G163&amp;" weeks.                                       "&amp;Bud_Yr-1&amp;":  avg "&amp;I163&amp;" hrs/week at $"&amp;J163&amp;"/hr ("&amp;ROUND(L163*100,1)&amp;"% incr.) for "&amp;K163&amp;" weeks.   "</f>
        <v xml:space="preserve">Marc Henkel:  2021:  avg 25 hrs/week at $13.78/hr (1% incr.) for 52 weeks.                                       2020:  avg 25 hrs/week at $13.64/hr (0% incr.) for 52 weeks.   </v>
      </c>
      <c r="Y163" s="58" t="s">
        <v>124</v>
      </c>
      <c r="AG163" s="1">
        <f>+$P163</f>
        <v>34490</v>
      </c>
      <c r="AK163" s="1">
        <f>+$U163</f>
        <v>28275.17</v>
      </c>
    </row>
    <row r="164" spans="1:37" ht="29">
      <c r="C164" s="248"/>
      <c r="D164" s="258"/>
      <c r="E164" s="316">
        <v>20</v>
      </c>
      <c r="F164" s="314">
        <f>ROUND(+J164*(1+H164),2)</f>
        <v>11.69</v>
      </c>
      <c r="G164" s="310">
        <v>52</v>
      </c>
      <c r="H164" s="312">
        <f>+$F$106</f>
        <v>0.01</v>
      </c>
      <c r="I164" s="310">
        <v>20</v>
      </c>
      <c r="J164" s="311">
        <v>11.57</v>
      </c>
      <c r="K164" s="310">
        <v>52</v>
      </c>
      <c r="L164" s="247">
        <f>IF(M164=0,0,(+J164-M164)/M164)</f>
        <v>-0.15175953079178886</v>
      </c>
      <c r="M164" s="311">
        <v>13.64</v>
      </c>
      <c r="N164" s="311">
        <v>11.12</v>
      </c>
      <c r="O164" s="311">
        <v>10.9</v>
      </c>
      <c r="P164" s="282"/>
      <c r="Q164" s="282"/>
      <c r="R164" s="246"/>
      <c r="S164" s="247"/>
      <c r="T164" s="248"/>
      <c r="U164" s="266"/>
      <c r="V164" s="245"/>
      <c r="W164" s="247"/>
      <c r="X164" s="249" t="str">
        <f>"Rebecca Arreola:  "&amp;Bud_Yr&amp;":  avg "&amp;E164&amp;" hrs/week at $"&amp;F164&amp;"/hr ("&amp;ROUND(H164*100,1)&amp;"% incr.) for "&amp;G164&amp;" weeks.                                    "&amp;Bud_Yr-1&amp;":  avg "&amp;I164&amp;" hrs/week at $"&amp;J164&amp;"/hr ("&amp;ROUND(L164*100,1)&amp;"% incr.) for "&amp;K164&amp;" weeks.   "&amp;Bud_Yr-2&amp;":  $"&amp;M164&amp;"/hour."</f>
        <v>Rebecca Arreola:  2021:  avg 20 hrs/week at $11.69/hr (1% incr.) for 52 weeks.                                    2020:  avg 20 hrs/week at $11.57/hr (-15.2% incr.) for 52 weeks.   2019:  $13.64/hour.</v>
      </c>
      <c r="Y164" s="58"/>
      <c r="AA164" s="77"/>
    </row>
    <row r="165" spans="1:37" ht="29">
      <c r="C165" s="248"/>
      <c r="D165" s="258"/>
      <c r="E165" s="316">
        <v>7.5</v>
      </c>
      <c r="F165" s="418">
        <f>ROUND(+J165*(1+H165),2)</f>
        <v>11.33</v>
      </c>
      <c r="G165" s="310">
        <v>52</v>
      </c>
      <c r="H165" s="312">
        <f>+$F$106</f>
        <v>0.01</v>
      </c>
      <c r="I165" s="316">
        <v>7.5</v>
      </c>
      <c r="J165" s="311">
        <v>11.22</v>
      </c>
      <c r="K165" s="310">
        <v>52</v>
      </c>
      <c r="L165" s="247">
        <f>IF(M165=0,0,(+J165-M165)/M165)</f>
        <v>0</v>
      </c>
      <c r="M165" s="311">
        <v>11.22</v>
      </c>
      <c r="N165" s="311">
        <v>11.25</v>
      </c>
      <c r="O165" s="311">
        <v>11.25</v>
      </c>
      <c r="P165" s="282"/>
      <c r="Q165" s="282"/>
      <c r="R165" s="246"/>
      <c r="S165" s="247"/>
      <c r="T165" s="248"/>
      <c r="U165" s="266"/>
      <c r="V165" s="245"/>
      <c r="W165" s="247"/>
      <c r="X165" s="249" t="str">
        <f>"Glenn Napier for "&amp;Bud_Yr&amp;":  avg "&amp;E165&amp;" hrs/week at $"&amp;F165&amp;"/hr ("&amp;ROUND(H165*100,1)&amp;"% incr.) for "&amp;G165&amp;" weeks.                                                     "&amp;Bud_Yr-1&amp;":  avg "&amp;I165&amp;" hrs/week at $"&amp;J165&amp;"/hr ("&amp;ROUND(L165*100,1)&amp;"% incr.) for "&amp;K165&amp;" weeks.   "&amp;Bud_Yr-2&amp;":  $"&amp;M165&amp;"/hour."</f>
        <v>Glenn Napier for 2021:  avg 7.5 hrs/week at $11.33/hr (1% incr.) for 52 weeks.                                                     2020:  avg 7.5 hrs/week at $11.22/hr (0% incr.) for 52 weeks.   2019:  $11.22/hour.</v>
      </c>
      <c r="Y165" s="58"/>
      <c r="AA165" s="77"/>
    </row>
    <row r="166" spans="1:37">
      <c r="A166" s="43">
        <v>119</v>
      </c>
      <c r="C166" s="248" t="s">
        <v>55</v>
      </c>
      <c r="D166" s="258"/>
      <c r="E166" s="259"/>
      <c r="F166" s="260"/>
      <c r="G166" s="260"/>
      <c r="H166" s="260"/>
      <c r="I166" s="260"/>
      <c r="J166" s="260"/>
      <c r="K166" s="260"/>
      <c r="L166" s="260"/>
      <c r="M166" s="260"/>
      <c r="N166" s="260"/>
      <c r="O166" s="248"/>
      <c r="P166" s="266">
        <v>400</v>
      </c>
      <c r="Q166" s="245">
        <v>400</v>
      </c>
      <c r="R166" s="246">
        <f t="shared" si="50"/>
        <v>0</v>
      </c>
      <c r="S166" s="247">
        <f t="shared" si="51"/>
        <v>0</v>
      </c>
      <c r="T166" s="248"/>
      <c r="U166" s="266">
        <v>29.93</v>
      </c>
      <c r="V166" s="245">
        <v>366.63</v>
      </c>
      <c r="W166" s="247">
        <f t="shared" si="52"/>
        <v>-0.91836456372910014</v>
      </c>
      <c r="X166" s="249" t="s">
        <v>403</v>
      </c>
      <c r="Y166" s="62"/>
      <c r="AD166" s="1">
        <f t="shared" ref="AD166:AF167" si="53">+$P166*AD$158</f>
        <v>133.20000000000002</v>
      </c>
      <c r="AE166" s="1">
        <f t="shared" si="53"/>
        <v>133.20000000000002</v>
      </c>
      <c r="AF166" s="1">
        <f t="shared" si="53"/>
        <v>133.6</v>
      </c>
      <c r="AH166" s="1">
        <f t="shared" ref="AH166:AJ167" si="54">+$U166*AH$158</f>
        <v>9.9666899999999998</v>
      </c>
      <c r="AI166" s="1">
        <f t="shared" si="54"/>
        <v>9.9666899999999998</v>
      </c>
      <c r="AJ166" s="1">
        <f t="shared" si="54"/>
        <v>9.9966200000000001</v>
      </c>
    </row>
    <row r="167" spans="1:37">
      <c r="A167" s="43">
        <v>120</v>
      </c>
      <c r="C167" s="248" t="s">
        <v>99</v>
      </c>
      <c r="D167" s="258"/>
      <c r="E167" s="259"/>
      <c r="F167" s="260"/>
      <c r="G167" s="260"/>
      <c r="H167" s="260"/>
      <c r="I167" s="260"/>
      <c r="J167" s="260"/>
      <c r="K167" s="260"/>
      <c r="L167" s="260"/>
      <c r="M167" s="260"/>
      <c r="N167" s="260"/>
      <c r="O167" s="248"/>
      <c r="P167" s="266">
        <f>700</f>
        <v>700</v>
      </c>
      <c r="Q167" s="245">
        <v>700</v>
      </c>
      <c r="R167" s="246">
        <f t="shared" si="50"/>
        <v>0</v>
      </c>
      <c r="S167" s="247">
        <f t="shared" si="51"/>
        <v>0</v>
      </c>
      <c r="T167" s="248"/>
      <c r="U167" s="245">
        <v>0</v>
      </c>
      <c r="V167" s="245">
        <v>641.63</v>
      </c>
      <c r="W167" s="247">
        <f t="shared" si="52"/>
        <v>-1</v>
      </c>
      <c r="X167" s="249"/>
      <c r="Y167" s="62"/>
      <c r="Z167" s="2"/>
      <c r="AD167" s="1">
        <f t="shared" si="53"/>
        <v>233.10000000000002</v>
      </c>
      <c r="AE167" s="1">
        <f t="shared" si="53"/>
        <v>233.10000000000002</v>
      </c>
      <c r="AF167" s="1">
        <f t="shared" si="53"/>
        <v>233.8</v>
      </c>
      <c r="AH167" s="1">
        <f t="shared" si="54"/>
        <v>0</v>
      </c>
      <c r="AI167" s="1">
        <f t="shared" si="54"/>
        <v>0</v>
      </c>
      <c r="AJ167" s="1">
        <f t="shared" si="54"/>
        <v>0</v>
      </c>
    </row>
    <row r="168" spans="1:37" ht="14" customHeight="1">
      <c r="C168" s="248" t="s">
        <v>116</v>
      </c>
      <c r="D168" s="258"/>
      <c r="E168" s="259"/>
      <c r="F168" s="260"/>
      <c r="G168" s="260"/>
      <c r="H168" s="317"/>
      <c r="I168" s="317"/>
      <c r="J168" s="317"/>
      <c r="K168" s="317"/>
      <c r="L168" s="317"/>
      <c r="M168" s="317"/>
      <c r="N168" s="317"/>
      <c r="O168" s="318"/>
      <c r="P168" s="282">
        <f>+'Band and Other Music'!E60</f>
        <v>925</v>
      </c>
      <c r="Q168" s="245">
        <v>925</v>
      </c>
      <c r="R168" s="246">
        <f t="shared" si="50"/>
        <v>0</v>
      </c>
      <c r="S168" s="247">
        <f>IF(Q168=0,"NA",(+P168-Q168)/Q168)</f>
        <v>0</v>
      </c>
      <c r="T168" s="248"/>
      <c r="U168" s="266">
        <v>0</v>
      </c>
      <c r="V168" s="245">
        <v>822.22</v>
      </c>
      <c r="W168" s="247">
        <f>IF(V168=0,"NA",(+U168-V168)/V168)</f>
        <v>-1</v>
      </c>
      <c r="X168" s="249" t="s">
        <v>397</v>
      </c>
      <c r="Y168" s="58" t="s">
        <v>135</v>
      </c>
      <c r="AD168" s="1">
        <f t="shared" ref="AD168" si="55">+$P168</f>
        <v>925</v>
      </c>
      <c r="AH168" s="1">
        <f t="shared" ref="AH168" si="56">+$U168</f>
        <v>0</v>
      </c>
    </row>
    <row r="169" spans="1:37" ht="29">
      <c r="C169" s="780" t="s">
        <v>430</v>
      </c>
      <c r="D169" s="780"/>
      <c r="E169" s="310">
        <v>15</v>
      </c>
      <c r="F169" s="314">
        <f>ROUND(+J169*(1+H169),2)</f>
        <v>14.72</v>
      </c>
      <c r="G169" s="310">
        <v>52</v>
      </c>
      <c r="H169" s="312">
        <f>+$F$106</f>
        <v>0.01</v>
      </c>
      <c r="I169" s="310">
        <v>15</v>
      </c>
      <c r="J169" s="311">
        <v>14.57</v>
      </c>
      <c r="K169" s="310">
        <v>52</v>
      </c>
      <c r="L169" s="247">
        <f>IF(M169=0,0,(+J169-M169)/M169)</f>
        <v>2.0308123249299787E-2</v>
      </c>
      <c r="M169" s="311">
        <v>14.28</v>
      </c>
      <c r="N169" s="311">
        <v>14</v>
      </c>
      <c r="O169" s="311"/>
      <c r="P169" s="319">
        <f>ROUND(+E169*F169*G169,0)</f>
        <v>11482</v>
      </c>
      <c r="Q169" s="282">
        <f>ROUND(+I169*J169*K169,0)</f>
        <v>11365</v>
      </c>
      <c r="R169" s="246">
        <f>+P169-Q169</f>
        <v>117</v>
      </c>
      <c r="S169" s="247">
        <f>IF(Q169=0,"NA",(+P169-Q169)/Q169)</f>
        <v>1.029476462824461E-2</v>
      </c>
      <c r="T169" s="248"/>
      <c r="U169" s="266">
        <v>10471.950000000001</v>
      </c>
      <c r="V169" s="245">
        <v>10417.879999999999</v>
      </c>
      <c r="W169" s="247">
        <f>IF(V169=0,"NA",(+U169-V169)/V169)</f>
        <v>5.1901154553519076E-3</v>
      </c>
      <c r="X169" s="249" t="str">
        <f>"Heather Keszler:  "&amp;Bud_Yr&amp;":  avg "&amp;E169&amp;" hrs/week at $"&amp;F169&amp;"/hr ("&amp;ROUND(H169*100,1)&amp;"% incr.) for "&amp;G169&amp;" weeks.                       "&amp;Bud_Yr-1&amp;":  avg "&amp;I169&amp;" hrs/week at $"&amp;J169&amp;"/hr ("&amp;ROUND(L169*100,1)&amp;"% incr.) for "&amp;K169&amp;" weeks.   "</f>
        <v xml:space="preserve">Heather Keszler:  2021:  avg 15 hrs/week at $14.72/hr (1% incr.) for 52 weeks.                       2020:  avg 15 hrs/week at $14.57/hr (2% incr.) for 52 weeks.   </v>
      </c>
      <c r="Y169" s="59"/>
      <c r="Z169" s="39"/>
      <c r="AD169" s="1">
        <f t="shared" ref="AD169:AF171" si="57">+$P169*AD$158</f>
        <v>3823.5060000000003</v>
      </c>
      <c r="AE169" s="1">
        <f t="shared" si="57"/>
        <v>3823.5060000000003</v>
      </c>
      <c r="AF169" s="1">
        <f t="shared" si="57"/>
        <v>3834.9880000000003</v>
      </c>
      <c r="AH169" s="1">
        <f t="shared" ref="AH169:AJ171" si="58">+$U169*AH$158</f>
        <v>3487.1593500000004</v>
      </c>
      <c r="AI169" s="1">
        <f t="shared" si="58"/>
        <v>3487.1593500000004</v>
      </c>
      <c r="AJ169" s="1">
        <f t="shared" si="58"/>
        <v>3497.6313000000005</v>
      </c>
    </row>
    <row r="170" spans="1:37" ht="14.5" customHeight="1">
      <c r="A170" s="43">
        <v>123</v>
      </c>
      <c r="C170" s="248" t="s">
        <v>56</v>
      </c>
      <c r="D170" s="258"/>
      <c r="E170" s="320"/>
      <c r="F170" s="465"/>
      <c r="G170" s="320"/>
      <c r="H170" s="320"/>
      <c r="I170" s="320"/>
      <c r="J170" s="321"/>
      <c r="K170" s="322"/>
      <c r="L170" s="322"/>
      <c r="M170" s="323">
        <v>7.6499999999999999E-2</v>
      </c>
      <c r="N170" s="323"/>
      <c r="O170" s="248"/>
      <c r="P170" s="282">
        <f>ROUND((+P134+P144+P145+P158+P161+P162+P163+P168+P169+P172)*$M170,0)</f>
        <v>10614</v>
      </c>
      <c r="Q170" s="282">
        <f>ROUND((+Q134+Q144+Q145+Q158+Q161+Q162+Q163+Q168+Q169+Q172)*$M170,0)</f>
        <v>12642</v>
      </c>
      <c r="R170" s="246">
        <f t="shared" si="50"/>
        <v>-2028</v>
      </c>
      <c r="S170" s="247">
        <f t="shared" si="51"/>
        <v>-0.16041765543426673</v>
      </c>
      <c r="T170" s="248"/>
      <c r="U170" s="266">
        <v>9290.56</v>
      </c>
      <c r="V170" s="266">
        <v>11588.5</v>
      </c>
      <c r="W170" s="247">
        <f t="shared" si="52"/>
        <v>-0.19829486128489454</v>
      </c>
      <c r="X170" s="308" t="s">
        <v>365</v>
      </c>
      <c r="Y170" s="62" t="s">
        <v>136</v>
      </c>
      <c r="Z170" s="46"/>
      <c r="AD170" s="1">
        <f t="shared" si="57"/>
        <v>3534.462</v>
      </c>
      <c r="AE170" s="1">
        <f t="shared" si="57"/>
        <v>3534.462</v>
      </c>
      <c r="AF170" s="1">
        <f t="shared" si="57"/>
        <v>3545.076</v>
      </c>
      <c r="AH170" s="1">
        <f t="shared" si="58"/>
        <v>3093.75648</v>
      </c>
      <c r="AI170" s="1">
        <f t="shared" si="58"/>
        <v>3093.75648</v>
      </c>
      <c r="AJ170" s="1">
        <f t="shared" si="58"/>
        <v>3103.0470399999999</v>
      </c>
    </row>
    <row r="171" spans="1:37" ht="14.4" customHeight="1">
      <c r="A171" s="43">
        <v>124</v>
      </c>
      <c r="C171" s="248" t="s">
        <v>57</v>
      </c>
      <c r="D171" s="258"/>
      <c r="E171" s="259"/>
      <c r="F171" s="466"/>
      <c r="G171" s="466"/>
      <c r="H171" s="466"/>
      <c r="I171" s="260"/>
      <c r="J171" s="260"/>
      <c r="K171" s="260"/>
      <c r="L171" s="260"/>
      <c r="M171" s="260"/>
      <c r="N171" s="260"/>
      <c r="O171" s="248"/>
      <c r="P171" s="266">
        <v>3650</v>
      </c>
      <c r="Q171" s="266">
        <f>ROUND(875.25*4,0)</f>
        <v>3501</v>
      </c>
      <c r="R171" s="246">
        <f t="shared" si="50"/>
        <v>149</v>
      </c>
      <c r="S171" s="247">
        <f t="shared" si="51"/>
        <v>4.2559268780348471E-2</v>
      </c>
      <c r="T171" s="248"/>
      <c r="U171" s="266">
        <v>2684.25</v>
      </c>
      <c r="V171" s="266">
        <v>2625.75</v>
      </c>
      <c r="W171" s="247">
        <f t="shared" si="52"/>
        <v>2.2279348757497857E-2</v>
      </c>
      <c r="X171" s="244" t="s">
        <v>432</v>
      </c>
      <c r="Y171" s="62" t="s">
        <v>137</v>
      </c>
      <c r="Z171" s="46"/>
      <c r="AD171" s="1">
        <f t="shared" si="57"/>
        <v>1215.45</v>
      </c>
      <c r="AE171" s="1">
        <f t="shared" si="57"/>
        <v>1215.45</v>
      </c>
      <c r="AF171" s="1">
        <f t="shared" si="57"/>
        <v>1219.1000000000001</v>
      </c>
      <c r="AH171" s="1">
        <f t="shared" si="58"/>
        <v>893.85525000000007</v>
      </c>
      <c r="AI171" s="1">
        <f t="shared" si="58"/>
        <v>893.85525000000007</v>
      </c>
      <c r="AJ171" s="1">
        <f t="shared" si="58"/>
        <v>896.53950000000009</v>
      </c>
    </row>
    <row r="172" spans="1:37">
      <c r="A172" s="43">
        <v>125</v>
      </c>
      <c r="C172" s="248" t="s">
        <v>58</v>
      </c>
      <c r="D172" s="258"/>
      <c r="P172" s="54">
        <v>1500</v>
      </c>
      <c r="Q172" s="52">
        <v>1500</v>
      </c>
      <c r="R172" s="38">
        <f t="shared" si="50"/>
        <v>0</v>
      </c>
      <c r="S172" s="4">
        <f t="shared" si="51"/>
        <v>0</v>
      </c>
      <c r="U172" s="54">
        <v>225</v>
      </c>
      <c r="V172" s="54">
        <v>1375</v>
      </c>
      <c r="W172" s="4">
        <f t="shared" si="52"/>
        <v>-0.83636363636363631</v>
      </c>
      <c r="X172" s="244" t="s">
        <v>398</v>
      </c>
      <c r="Y172" s="58"/>
      <c r="AD172" s="1">
        <f t="shared" ref="AD172" si="59">+$P172</f>
        <v>1500</v>
      </c>
      <c r="AH172" s="1">
        <f t="shared" ref="AH172" si="60">+$U172</f>
        <v>225</v>
      </c>
    </row>
    <row r="173" spans="1:37" s="2" customFormat="1">
      <c r="A173" s="43">
        <v>127</v>
      </c>
      <c r="B173" s="24" t="s">
        <v>53</v>
      </c>
      <c r="C173" s="24"/>
      <c r="D173" s="24"/>
      <c r="E173" s="88"/>
      <c r="F173" s="88"/>
      <c r="G173" s="88"/>
      <c r="H173" s="88"/>
      <c r="I173" s="88"/>
      <c r="J173" s="88"/>
      <c r="K173" s="88"/>
      <c r="L173" s="88"/>
      <c r="M173" s="88"/>
      <c r="N173" s="88"/>
      <c r="O173" s="24"/>
      <c r="P173" s="24">
        <f>SUM(P161:P172)</f>
        <v>101182</v>
      </c>
      <c r="Q173" s="24">
        <f>SUM(Q161:Q172)</f>
        <v>102241</v>
      </c>
      <c r="R173" s="24">
        <f>SUM(R161:R172)</f>
        <v>-1059</v>
      </c>
      <c r="S173" s="25">
        <f t="shared" si="51"/>
        <v>-1.0357879911190228E-2</v>
      </c>
      <c r="U173" s="24">
        <f>SUM(U161:U172)</f>
        <v>84500.7</v>
      </c>
      <c r="V173" s="24">
        <f>SUM(V161:V172)</f>
        <v>93111.500000000015</v>
      </c>
      <c r="W173" s="25">
        <f t="shared" si="52"/>
        <v>-9.2478372703694134E-2</v>
      </c>
      <c r="X173" s="74"/>
      <c r="Y173" s="61"/>
      <c r="Z173" s="26"/>
    </row>
    <row r="174" spans="1:37">
      <c r="A174" s="43">
        <v>128</v>
      </c>
      <c r="B174" s="24" t="s">
        <v>59</v>
      </c>
      <c r="C174" s="24"/>
      <c r="D174" s="24"/>
      <c r="E174" s="88"/>
      <c r="F174" s="25"/>
      <c r="G174" s="25"/>
      <c r="H174" s="25"/>
      <c r="I174" s="25"/>
      <c r="J174" s="25"/>
      <c r="K174" s="25"/>
      <c r="L174" s="25"/>
      <c r="M174" s="25"/>
      <c r="N174" s="25"/>
      <c r="O174" s="34"/>
      <c r="P174" s="24">
        <f>+P118+P131+P140+P146+P158+P173</f>
        <v>320612</v>
      </c>
      <c r="Q174" s="24">
        <f>+Q118+Q131+Q140+Q146+Q158+Q173</f>
        <v>331619</v>
      </c>
      <c r="R174" s="24">
        <f>+R118+R131+R140+R146+R158+R173</f>
        <v>-11007</v>
      </c>
      <c r="S174" s="25">
        <f t="shared" si="51"/>
        <v>-3.3191704938498698E-2</v>
      </c>
      <c r="U174" s="24">
        <f>+U118+U131+U140+U146+U158+U173</f>
        <v>239508.38</v>
      </c>
      <c r="V174" s="24">
        <f>+V118+V131+V140+V146+V158+V173</f>
        <v>301185.44</v>
      </c>
      <c r="W174" s="25">
        <f t="shared" si="52"/>
        <v>-0.20478101464665754</v>
      </c>
      <c r="X174" s="73"/>
      <c r="Y174" s="59"/>
      <c r="Z174" s="26"/>
    </row>
    <row r="175" spans="1:37" ht="8.25" customHeight="1">
      <c r="A175" s="43">
        <v>144</v>
      </c>
      <c r="S175" s="5"/>
      <c r="X175" s="73"/>
      <c r="Y175" s="59"/>
    </row>
    <row r="176" spans="1:37" ht="18.5">
      <c r="A176" s="43">
        <v>130</v>
      </c>
      <c r="B176" s="7" t="s">
        <v>60</v>
      </c>
      <c r="S176" s="5"/>
      <c r="X176" s="73"/>
      <c r="Y176" s="59"/>
    </row>
    <row r="177" spans="1:37">
      <c r="A177" s="43">
        <v>131</v>
      </c>
      <c r="B177" s="2" t="s">
        <v>61</v>
      </c>
      <c r="S177" s="5"/>
      <c r="X177" s="73"/>
      <c r="Y177" s="59"/>
    </row>
    <row r="178" spans="1:37" ht="14.5" customHeight="1">
      <c r="A178" s="43">
        <v>132</v>
      </c>
      <c r="C178" s="419" t="s">
        <v>63</v>
      </c>
      <c r="D178" s="420"/>
      <c r="E178" s="421"/>
      <c r="F178" s="422"/>
      <c r="G178" s="422"/>
      <c r="H178" s="422"/>
      <c r="I178" s="422"/>
      <c r="J178" s="422"/>
      <c r="K178" s="422"/>
      <c r="L178" s="422"/>
      <c r="M178" s="422"/>
      <c r="N178" s="422"/>
      <c r="O178" s="419"/>
      <c r="P178" s="427">
        <v>12000</v>
      </c>
      <c r="Q178" s="427">
        <v>12000</v>
      </c>
      <c r="R178" s="424">
        <f t="shared" ref="R178:R191" si="61">+P178-Q178</f>
        <v>0</v>
      </c>
      <c r="S178" s="425">
        <f t="shared" ref="S178:S193" si="62">IF(Q178=0,"NA",(+P178-Q178)/Q178)</f>
        <v>0</v>
      </c>
      <c r="T178" s="419"/>
      <c r="U178" s="423">
        <v>9734.31</v>
      </c>
      <c r="V178" s="423">
        <v>11000</v>
      </c>
      <c r="W178" s="425">
        <f t="shared" ref="W178:W193" si="63">IF(V178=0,"NA",(+U178-V178)/V178)</f>
        <v>-0.11506272727272732</v>
      </c>
      <c r="X178" s="584" t="s">
        <v>481</v>
      </c>
      <c r="Y178" s="58" t="s">
        <v>138</v>
      </c>
      <c r="AG178" s="1">
        <f t="shared" ref="AG178:AG191" si="64">+$P178</f>
        <v>12000</v>
      </c>
      <c r="AK178" s="1">
        <f t="shared" ref="AK178:AK191" si="65">+$U178</f>
        <v>9734.31</v>
      </c>
    </row>
    <row r="179" spans="1:37" ht="14.5" customHeight="1">
      <c r="C179" s="243"/>
      <c r="D179" s="255"/>
      <c r="E179" s="421"/>
      <c r="F179" s="422"/>
      <c r="G179" s="422"/>
      <c r="H179" s="422"/>
      <c r="I179" s="422"/>
      <c r="J179" s="422"/>
      <c r="K179" s="422"/>
      <c r="L179" s="422"/>
      <c r="M179" s="422"/>
      <c r="N179" s="422"/>
      <c r="O179" s="419"/>
      <c r="P179" s="268"/>
      <c r="Q179" s="268"/>
      <c r="R179" s="241"/>
      <c r="S179" s="242"/>
      <c r="T179" s="243"/>
      <c r="U179" s="240"/>
      <c r="V179" s="240"/>
      <c r="W179" s="242"/>
      <c r="X179" s="244" t="s">
        <v>404</v>
      </c>
      <c r="Y179" s="58"/>
    </row>
    <row r="180" spans="1:37" ht="14.5" customHeight="1">
      <c r="A180" s="43">
        <v>133</v>
      </c>
      <c r="C180" s="253" t="s">
        <v>64</v>
      </c>
      <c r="D180" s="261"/>
      <c r="P180" s="267">
        <v>10000</v>
      </c>
      <c r="Q180" s="267">
        <v>10000</v>
      </c>
      <c r="R180" s="251">
        <f t="shared" si="61"/>
        <v>0</v>
      </c>
      <c r="S180" s="252">
        <f t="shared" si="62"/>
        <v>0</v>
      </c>
      <c r="T180" s="253"/>
      <c r="U180" s="250">
        <v>7700</v>
      </c>
      <c r="V180" s="250">
        <v>9166.6299999999992</v>
      </c>
      <c r="W180" s="252">
        <f t="shared" si="63"/>
        <v>-0.15999663998655989</v>
      </c>
      <c r="X180" s="584" t="s">
        <v>481</v>
      </c>
      <c r="Y180" s="66" t="s">
        <v>141</v>
      </c>
      <c r="AG180" s="1">
        <f t="shared" si="64"/>
        <v>10000</v>
      </c>
      <c r="AK180" s="1">
        <f t="shared" si="65"/>
        <v>7700</v>
      </c>
    </row>
    <row r="181" spans="1:37" ht="14.5" customHeight="1">
      <c r="C181" s="243"/>
      <c r="D181" s="255"/>
      <c r="E181" s="256"/>
      <c r="F181" s="257"/>
      <c r="G181" s="257"/>
      <c r="H181" s="257"/>
      <c r="I181" s="257"/>
      <c r="J181" s="257"/>
      <c r="K181" s="257"/>
      <c r="L181" s="257"/>
      <c r="M181" s="257"/>
      <c r="N181" s="257"/>
      <c r="O181" s="243"/>
      <c r="P181" s="268"/>
      <c r="Q181" s="268"/>
      <c r="R181" s="241"/>
      <c r="S181" s="242"/>
      <c r="T181" s="243"/>
      <c r="U181" s="240"/>
      <c r="V181" s="240"/>
      <c r="W181" s="242"/>
      <c r="X181" s="244" t="s">
        <v>405</v>
      </c>
      <c r="Y181" s="66"/>
    </row>
    <row r="182" spans="1:37">
      <c r="A182" s="43">
        <v>134</v>
      </c>
      <c r="C182" s="419" t="s">
        <v>345</v>
      </c>
      <c r="D182" s="420"/>
      <c r="E182" s="421"/>
      <c r="F182" s="422"/>
      <c r="G182" s="422"/>
      <c r="H182" s="422"/>
      <c r="I182" s="422"/>
      <c r="J182" s="422"/>
      <c r="K182" s="422"/>
      <c r="L182" s="422"/>
      <c r="M182" s="422"/>
      <c r="N182" s="422"/>
      <c r="O182" s="435"/>
      <c r="P182" s="423">
        <v>4400</v>
      </c>
      <c r="Q182" s="423">
        <v>4400</v>
      </c>
      <c r="R182" s="424">
        <f t="shared" si="61"/>
        <v>0</v>
      </c>
      <c r="S182" s="425">
        <f t="shared" si="62"/>
        <v>0</v>
      </c>
      <c r="T182" s="419"/>
      <c r="U182" s="423">
        <v>4322.7299999999996</v>
      </c>
      <c r="V182" s="423">
        <v>4033.37</v>
      </c>
      <c r="W182" s="425">
        <f t="shared" si="63"/>
        <v>7.1741496564907178E-2</v>
      </c>
      <c r="X182" s="584" t="s">
        <v>518</v>
      </c>
      <c r="Y182" s="65"/>
      <c r="Z182" s="2"/>
      <c r="AG182" s="1">
        <f t="shared" si="64"/>
        <v>4400</v>
      </c>
      <c r="AK182" s="1">
        <f t="shared" si="65"/>
        <v>4322.7299999999996</v>
      </c>
    </row>
    <row r="183" spans="1:37">
      <c r="C183" s="419"/>
      <c r="D183" s="420"/>
      <c r="E183" s="421"/>
      <c r="F183" s="422"/>
      <c r="G183" s="422"/>
      <c r="H183" s="422"/>
      <c r="I183" s="422"/>
      <c r="J183" s="422"/>
      <c r="K183" s="422"/>
      <c r="L183" s="422"/>
      <c r="M183" s="422"/>
      <c r="N183" s="422"/>
      <c r="O183" s="435"/>
      <c r="P183" s="423"/>
      <c r="Q183" s="423"/>
      <c r="R183" s="424"/>
      <c r="S183" s="425"/>
      <c r="T183" s="419"/>
      <c r="U183" s="423"/>
      <c r="V183" s="423"/>
      <c r="W183" s="425"/>
      <c r="X183" s="426" t="s">
        <v>352</v>
      </c>
      <c r="Y183" s="65"/>
    </row>
    <row r="184" spans="1:37" ht="49.5" customHeight="1">
      <c r="C184" s="243"/>
      <c r="D184" s="255"/>
      <c r="O184" s="3"/>
      <c r="P184" s="240"/>
      <c r="Q184" s="240"/>
      <c r="R184" s="241"/>
      <c r="S184" s="242"/>
      <c r="T184" s="243"/>
      <c r="U184" s="240"/>
      <c r="V184" s="240"/>
      <c r="W184" s="242"/>
      <c r="X184" s="244" t="s">
        <v>372</v>
      </c>
      <c r="Y184" s="65"/>
    </row>
    <row r="185" spans="1:37" ht="14.5" customHeight="1">
      <c r="A185" s="43">
        <v>135</v>
      </c>
      <c r="C185" s="253" t="s">
        <v>66</v>
      </c>
      <c r="D185" s="261"/>
      <c r="P185" s="250">
        <v>1000</v>
      </c>
      <c r="Q185" s="250">
        <v>1000</v>
      </c>
      <c r="R185" s="251">
        <f t="shared" si="61"/>
        <v>0</v>
      </c>
      <c r="S185" s="252">
        <f t="shared" si="62"/>
        <v>0</v>
      </c>
      <c r="T185" s="253"/>
      <c r="U185" s="250">
        <v>903.9</v>
      </c>
      <c r="V185" s="250">
        <v>1000</v>
      </c>
      <c r="W185" s="252">
        <f t="shared" si="63"/>
        <v>-9.6100000000000019E-2</v>
      </c>
      <c r="X185" s="584" t="s">
        <v>481</v>
      </c>
      <c r="Y185" s="58"/>
      <c r="AG185" s="1">
        <f t="shared" si="64"/>
        <v>1000</v>
      </c>
      <c r="AK185" s="1">
        <f t="shared" si="65"/>
        <v>903.9</v>
      </c>
    </row>
    <row r="186" spans="1:37" ht="14.5" customHeight="1">
      <c r="C186" s="243"/>
      <c r="D186" s="255"/>
      <c r="E186" s="421"/>
      <c r="F186" s="422"/>
      <c r="G186" s="422"/>
      <c r="H186" s="422"/>
      <c r="I186" s="422"/>
      <c r="J186" s="422"/>
      <c r="K186" s="422"/>
      <c r="L186" s="422"/>
      <c r="M186" s="422"/>
      <c r="N186" s="422"/>
      <c r="O186" s="419"/>
      <c r="P186" s="240"/>
      <c r="Q186" s="240"/>
      <c r="R186" s="241"/>
      <c r="S186" s="242"/>
      <c r="T186" s="243"/>
      <c r="U186" s="240"/>
      <c r="V186" s="240"/>
      <c r="W186" s="242"/>
      <c r="X186" s="244" t="s">
        <v>351</v>
      </c>
      <c r="Y186" s="58"/>
    </row>
    <row r="187" spans="1:37" ht="14.5" customHeight="1">
      <c r="A187" s="43">
        <v>136</v>
      </c>
      <c r="C187" s="253" t="s">
        <v>67</v>
      </c>
      <c r="D187" s="261"/>
      <c r="P187" s="250">
        <v>350</v>
      </c>
      <c r="Q187" s="267">
        <v>350</v>
      </c>
      <c r="R187" s="251">
        <f t="shared" si="61"/>
        <v>0</v>
      </c>
      <c r="S187" s="252">
        <f t="shared" si="62"/>
        <v>0</v>
      </c>
      <c r="T187" s="253"/>
      <c r="U187" s="250">
        <v>353.35</v>
      </c>
      <c r="V187" s="250">
        <v>320.87</v>
      </c>
      <c r="W187" s="252">
        <f t="shared" si="63"/>
        <v>0.10122479508835359</v>
      </c>
      <c r="X187" s="584" t="s">
        <v>520</v>
      </c>
      <c r="Y187" s="66" t="s">
        <v>142</v>
      </c>
      <c r="AG187" s="1">
        <f t="shared" si="64"/>
        <v>350</v>
      </c>
      <c r="AK187" s="1">
        <f t="shared" si="65"/>
        <v>353.35</v>
      </c>
    </row>
    <row r="188" spans="1:37" ht="44.5" customHeight="1">
      <c r="C188" s="243"/>
      <c r="D188" s="255"/>
      <c r="E188" s="421"/>
      <c r="F188" s="422"/>
      <c r="G188" s="422"/>
      <c r="H188" s="422"/>
      <c r="I188" s="422"/>
      <c r="J188" s="422"/>
      <c r="K188" s="422"/>
      <c r="L188" s="422"/>
      <c r="M188" s="422"/>
      <c r="N188" s="422"/>
      <c r="O188" s="419"/>
      <c r="P188" s="240"/>
      <c r="Q188" s="268"/>
      <c r="R188" s="241"/>
      <c r="S188" s="242"/>
      <c r="T188" s="243"/>
      <c r="U188" s="240"/>
      <c r="V188" s="240"/>
      <c r="W188" s="242"/>
      <c r="X188" s="244" t="s">
        <v>519</v>
      </c>
      <c r="Y188" s="66"/>
    </row>
    <row r="189" spans="1:37" ht="14" customHeight="1">
      <c r="A189" s="43">
        <v>137</v>
      </c>
      <c r="C189" s="253" t="s">
        <v>68</v>
      </c>
      <c r="D189" s="261"/>
      <c r="E189" s="421"/>
      <c r="F189" s="422"/>
      <c r="G189" s="422"/>
      <c r="H189" s="692"/>
      <c r="I189" s="692"/>
      <c r="J189" s="692"/>
      <c r="K189" s="692"/>
      <c r="L189" s="692"/>
      <c r="M189" s="692"/>
      <c r="N189" s="692"/>
      <c r="O189" s="419"/>
      <c r="P189" s="250">
        <v>0</v>
      </c>
      <c r="Q189" s="267">
        <v>250</v>
      </c>
      <c r="R189" s="251">
        <f t="shared" si="61"/>
        <v>-250</v>
      </c>
      <c r="S189" s="252">
        <f t="shared" si="62"/>
        <v>-1</v>
      </c>
      <c r="T189" s="253"/>
      <c r="U189" s="250">
        <v>285.89999999999998</v>
      </c>
      <c r="V189" s="250">
        <v>250.02</v>
      </c>
      <c r="W189" s="252">
        <f t="shared" si="63"/>
        <v>0.14350851931845438</v>
      </c>
      <c r="X189" s="584" t="s">
        <v>516</v>
      </c>
      <c r="Y189" s="62" t="s">
        <v>373</v>
      </c>
      <c r="AG189" s="1">
        <f t="shared" si="64"/>
        <v>0</v>
      </c>
      <c r="AK189" s="1">
        <f t="shared" si="65"/>
        <v>285.89999999999998</v>
      </c>
    </row>
    <row r="190" spans="1:37" ht="29.5" customHeight="1">
      <c r="C190" s="419"/>
      <c r="D190" s="420"/>
      <c r="H190" s="89"/>
      <c r="I190" s="89"/>
      <c r="J190" s="89"/>
      <c r="K190" s="89"/>
      <c r="L190" s="89"/>
      <c r="M190" s="89"/>
      <c r="N190" s="89"/>
      <c r="P190" s="423"/>
      <c r="Q190" s="427"/>
      <c r="R190" s="424"/>
      <c r="S190" s="425"/>
      <c r="T190" s="419"/>
      <c r="U190" s="423"/>
      <c r="V190" s="423"/>
      <c r="W190" s="425"/>
      <c r="X190" s="244" t="s">
        <v>363</v>
      </c>
      <c r="Y190" s="62"/>
    </row>
    <row r="191" spans="1:37">
      <c r="A191" s="43">
        <v>138</v>
      </c>
      <c r="B191" s="691"/>
      <c r="C191" s="253" t="s">
        <v>104</v>
      </c>
      <c r="D191" s="261"/>
      <c r="E191" s="421"/>
      <c r="F191" s="422"/>
      <c r="G191" s="422"/>
      <c r="H191" s="422"/>
      <c r="I191" s="422"/>
      <c r="J191" s="422"/>
      <c r="K191" s="422"/>
      <c r="L191" s="422"/>
      <c r="M191" s="422"/>
      <c r="N191" s="422"/>
      <c r="O191" s="419"/>
      <c r="P191" s="250">
        <v>5200</v>
      </c>
      <c r="Q191" s="250">
        <v>4800</v>
      </c>
      <c r="R191" s="251">
        <f t="shared" si="61"/>
        <v>400</v>
      </c>
      <c r="S191" s="252">
        <f t="shared" si="62"/>
        <v>8.3333333333333329E-2</v>
      </c>
      <c r="T191" s="253"/>
      <c r="U191" s="250">
        <v>5419.78</v>
      </c>
      <c r="V191" s="250">
        <v>4800</v>
      </c>
      <c r="W191" s="252">
        <f t="shared" si="63"/>
        <v>0.12912083333333327</v>
      </c>
      <c r="X191" s="687" t="s">
        <v>517</v>
      </c>
      <c r="Y191" s="58"/>
      <c r="AG191" s="1">
        <f t="shared" si="64"/>
        <v>5200</v>
      </c>
      <c r="AK191" s="1">
        <f t="shared" si="65"/>
        <v>5419.78</v>
      </c>
    </row>
    <row r="192" spans="1:37" ht="29.5" customHeight="1">
      <c r="C192" s="419"/>
      <c r="D192" s="420"/>
      <c r="P192" s="423"/>
      <c r="Q192" s="423"/>
      <c r="R192" s="424"/>
      <c r="S192" s="425"/>
      <c r="T192" s="419"/>
      <c r="U192" s="423"/>
      <c r="V192" s="423"/>
      <c r="W192" s="425"/>
      <c r="X192" s="244" t="s">
        <v>406</v>
      </c>
      <c r="Y192" s="58"/>
    </row>
    <row r="193" spans="1:37" s="2" customFormat="1">
      <c r="A193" s="43">
        <v>139</v>
      </c>
      <c r="B193" s="27" t="s">
        <v>69</v>
      </c>
      <c r="C193" s="27"/>
      <c r="D193" s="27"/>
      <c r="E193" s="90"/>
      <c r="F193" s="90"/>
      <c r="G193" s="90"/>
      <c r="H193" s="90"/>
      <c r="I193" s="90"/>
      <c r="J193" s="90"/>
      <c r="K193" s="90"/>
      <c r="L193" s="90"/>
      <c r="M193" s="90"/>
      <c r="N193" s="90"/>
      <c r="O193" s="27"/>
      <c r="P193" s="27">
        <f>SUM(P178:P191)</f>
        <v>32950</v>
      </c>
      <c r="Q193" s="27">
        <f>SUM(Q178:Q191)</f>
        <v>32800</v>
      </c>
      <c r="R193" s="27">
        <f>SUM(R178:R191)</f>
        <v>150</v>
      </c>
      <c r="S193" s="28">
        <f t="shared" si="62"/>
        <v>4.5731707317073168E-3</v>
      </c>
      <c r="U193" s="27">
        <f>SUM(U178:U191)</f>
        <v>28719.969999999998</v>
      </c>
      <c r="V193" s="27">
        <f>SUM(V178:V191)</f>
        <v>30570.889999999996</v>
      </c>
      <c r="W193" s="28">
        <f t="shared" si="63"/>
        <v>-6.0545178763195921E-2</v>
      </c>
      <c r="X193" s="74"/>
      <c r="Y193" s="61"/>
      <c r="AK193" s="1"/>
    </row>
    <row r="194" spans="1:37" s="2" customFormat="1" ht="6.75" customHeight="1">
      <c r="A194" s="43">
        <v>140</v>
      </c>
      <c r="B194" s="15"/>
      <c r="C194" s="15"/>
      <c r="D194" s="15"/>
      <c r="E194" s="80"/>
      <c r="F194" s="80"/>
      <c r="G194" s="80"/>
      <c r="H194" s="80"/>
      <c r="I194" s="80"/>
      <c r="J194" s="80"/>
      <c r="K194" s="80"/>
      <c r="L194" s="80"/>
      <c r="M194" s="80"/>
      <c r="N194" s="80"/>
      <c r="O194" s="15"/>
      <c r="P194" s="15"/>
      <c r="Q194" s="15"/>
      <c r="R194" s="15"/>
      <c r="S194" s="18"/>
      <c r="U194" s="15"/>
      <c r="V194" s="15"/>
      <c r="W194" s="18"/>
      <c r="X194" s="74"/>
      <c r="Y194" s="61"/>
    </row>
    <row r="195" spans="1:37">
      <c r="A195" s="43">
        <v>141</v>
      </c>
      <c r="B195" s="2" t="s">
        <v>70</v>
      </c>
      <c r="S195" s="5"/>
      <c r="X195" s="73"/>
      <c r="Y195" s="59"/>
    </row>
    <row r="196" spans="1:37" ht="14" customHeight="1">
      <c r="A196" s="43">
        <v>142</v>
      </c>
      <c r="C196" s="419" t="s">
        <v>71</v>
      </c>
      <c r="D196" s="420"/>
      <c r="E196" s="421"/>
      <c r="F196" s="422"/>
      <c r="G196" s="422"/>
      <c r="H196" s="422"/>
      <c r="I196" s="422"/>
      <c r="J196" s="422"/>
      <c r="K196" s="422"/>
      <c r="L196" s="422"/>
      <c r="M196" s="422"/>
      <c r="N196" s="422"/>
      <c r="O196" s="419"/>
      <c r="P196" s="427">
        <f>ROUND(3074.25+(3*(3074.25*1.05)),0)</f>
        <v>12758</v>
      </c>
      <c r="Q196" s="427">
        <v>15500</v>
      </c>
      <c r="R196" s="424">
        <f t="shared" ref="R196:R208" si="66">+P196-Q196</f>
        <v>-2742</v>
      </c>
      <c r="S196" s="425">
        <f t="shared" ref="S196:S210" si="67">IF(Q196=0,"NA",(+P196-Q196)/Q196)</f>
        <v>-0.17690322580645162</v>
      </c>
      <c r="T196" s="419"/>
      <c r="U196" s="423">
        <v>9041.5</v>
      </c>
      <c r="V196" s="423">
        <v>11625</v>
      </c>
      <c r="W196" s="425">
        <f t="shared" ref="W196:W210" si="68">IF(V196=0,"NA",(+U196-V196)/V196)</f>
        <v>-0.22223655913978493</v>
      </c>
      <c r="X196" s="584" t="s">
        <v>521</v>
      </c>
      <c r="Y196" s="58" t="s">
        <v>143</v>
      </c>
      <c r="AG196" s="1">
        <f t="shared" ref="AG196:AG205" si="69">+$P196</f>
        <v>12758</v>
      </c>
      <c r="AK196" s="1">
        <f t="shared" ref="AK196:AK205" si="70">+$U196</f>
        <v>9041.5</v>
      </c>
    </row>
    <row r="197" spans="1:37" ht="29">
      <c r="C197" s="243"/>
      <c r="D197" s="255"/>
      <c r="E197" s="256"/>
      <c r="F197" s="257"/>
      <c r="G197" s="257"/>
      <c r="H197" s="257"/>
      <c r="I197" s="257"/>
      <c r="J197" s="257"/>
      <c r="K197" s="257"/>
      <c r="L197" s="257"/>
      <c r="M197" s="257"/>
      <c r="N197" s="257"/>
      <c r="O197" s="243"/>
      <c r="P197" s="268"/>
      <c r="Q197" s="268"/>
      <c r="R197" s="241"/>
      <c r="S197" s="242"/>
      <c r="T197" s="243"/>
      <c r="U197" s="240"/>
      <c r="V197" s="240"/>
      <c r="W197" s="242"/>
      <c r="X197" s="244" t="s">
        <v>353</v>
      </c>
      <c r="Y197" s="58"/>
    </row>
    <row r="198" spans="1:37">
      <c r="A198" s="43">
        <v>143</v>
      </c>
      <c r="C198" s="253" t="s">
        <v>72</v>
      </c>
      <c r="D198" s="261"/>
      <c r="E198" s="262"/>
      <c r="F198" s="263"/>
      <c r="G198" s="263"/>
      <c r="H198" s="263"/>
      <c r="I198" s="263"/>
      <c r="J198" s="263"/>
      <c r="K198" s="263"/>
      <c r="L198" s="263"/>
      <c r="M198" s="263"/>
      <c r="N198" s="263"/>
      <c r="O198" s="253"/>
      <c r="P198" s="250">
        <v>5000</v>
      </c>
      <c r="Q198" s="250">
        <v>5000</v>
      </c>
      <c r="R198" s="251">
        <f t="shared" si="66"/>
        <v>0</v>
      </c>
      <c r="S198" s="252">
        <f t="shared" si="67"/>
        <v>0</v>
      </c>
      <c r="T198" s="253"/>
      <c r="U198" s="250">
        <v>3506.8</v>
      </c>
      <c r="V198" s="250">
        <v>4166.66</v>
      </c>
      <c r="W198" s="252">
        <f t="shared" si="68"/>
        <v>-0.15836665338664535</v>
      </c>
      <c r="X198" s="584" t="s">
        <v>481</v>
      </c>
      <c r="Y198" s="58"/>
      <c r="AG198" s="1">
        <f t="shared" si="69"/>
        <v>5000</v>
      </c>
      <c r="AK198" s="1">
        <f t="shared" si="70"/>
        <v>3506.8</v>
      </c>
    </row>
    <row r="199" spans="1:37">
      <c r="C199" s="243"/>
      <c r="D199" s="255"/>
      <c r="E199" s="256"/>
      <c r="F199" s="257"/>
      <c r="G199" s="257"/>
      <c r="H199" s="257"/>
      <c r="I199" s="257"/>
      <c r="J199" s="257"/>
      <c r="K199" s="257"/>
      <c r="L199" s="257"/>
      <c r="M199" s="257"/>
      <c r="N199" s="257"/>
      <c r="O199" s="243"/>
      <c r="P199" s="240"/>
      <c r="Q199" s="240"/>
      <c r="R199" s="241"/>
      <c r="S199" s="242"/>
      <c r="T199" s="243"/>
      <c r="U199" s="240"/>
      <c r="V199" s="240"/>
      <c r="W199" s="242"/>
      <c r="X199" s="244" t="s">
        <v>412</v>
      </c>
      <c r="Y199" s="58"/>
    </row>
    <row r="200" spans="1:37">
      <c r="A200" s="43">
        <v>159</v>
      </c>
      <c r="C200" s="253" t="s">
        <v>97</v>
      </c>
      <c r="D200" s="261"/>
      <c r="E200" s="262"/>
      <c r="F200" s="263"/>
      <c r="G200" s="263"/>
      <c r="H200" s="263"/>
      <c r="I200" s="263"/>
      <c r="J200" s="263"/>
      <c r="K200" s="263"/>
      <c r="L200" s="263"/>
      <c r="M200" s="263"/>
      <c r="N200" s="263"/>
      <c r="O200" s="253"/>
      <c r="P200" s="250">
        <v>4500</v>
      </c>
      <c r="Q200" s="250">
        <v>4500</v>
      </c>
      <c r="R200" s="251">
        <f t="shared" si="66"/>
        <v>0</v>
      </c>
      <c r="S200" s="252">
        <f t="shared" si="67"/>
        <v>0</v>
      </c>
      <c r="T200" s="253"/>
      <c r="U200" s="250">
        <v>10429.67</v>
      </c>
      <c r="V200" s="250">
        <v>4125</v>
      </c>
      <c r="W200" s="252">
        <f t="shared" si="68"/>
        <v>1.5284048484848485</v>
      </c>
      <c r="X200" s="584" t="s">
        <v>481</v>
      </c>
      <c r="Y200" s="58"/>
      <c r="AG200" s="1">
        <f t="shared" si="69"/>
        <v>4500</v>
      </c>
      <c r="AK200" s="1">
        <f t="shared" si="70"/>
        <v>10429.67</v>
      </c>
    </row>
    <row r="201" spans="1:37" ht="29">
      <c r="C201" s="243"/>
      <c r="D201" s="255"/>
      <c r="E201" s="256"/>
      <c r="F201" s="257"/>
      <c r="G201" s="257"/>
      <c r="H201" s="257"/>
      <c r="I201" s="257"/>
      <c r="J201" s="257"/>
      <c r="K201" s="257"/>
      <c r="L201" s="257"/>
      <c r="M201" s="257"/>
      <c r="N201" s="257"/>
      <c r="O201" s="243"/>
      <c r="P201" s="240"/>
      <c r="Q201" s="240"/>
      <c r="R201" s="241"/>
      <c r="S201" s="242"/>
      <c r="T201" s="243"/>
      <c r="U201" s="240"/>
      <c r="V201" s="240"/>
      <c r="W201" s="242"/>
      <c r="X201" s="426" t="s">
        <v>499</v>
      </c>
      <c r="Y201" s="58"/>
    </row>
    <row r="202" spans="1:37">
      <c r="A202" s="43">
        <v>145</v>
      </c>
      <c r="C202" s="774" t="s">
        <v>100</v>
      </c>
      <c r="D202" s="774"/>
      <c r="E202" s="429"/>
      <c r="F202" s="429"/>
      <c r="G202" s="429"/>
      <c r="H202" s="429"/>
      <c r="I202" s="429"/>
      <c r="J202" s="429"/>
      <c r="K202" s="429"/>
      <c r="L202" s="429"/>
      <c r="M202" s="429"/>
      <c r="N202" s="429"/>
      <c r="O202" s="428"/>
      <c r="P202" s="267">
        <v>6000</v>
      </c>
      <c r="Q202" s="250">
        <v>6000</v>
      </c>
      <c r="R202" s="251">
        <f t="shared" si="66"/>
        <v>0</v>
      </c>
      <c r="S202" s="252">
        <f t="shared" si="67"/>
        <v>0</v>
      </c>
      <c r="T202" s="253"/>
      <c r="U202" s="250">
        <v>4943.6899999999996</v>
      </c>
      <c r="V202" s="250">
        <v>5500</v>
      </c>
      <c r="W202" s="252">
        <f t="shared" si="68"/>
        <v>-0.10114727272727279</v>
      </c>
      <c r="X202" s="584" t="s">
        <v>481</v>
      </c>
      <c r="Y202" s="58"/>
      <c r="AG202" s="1">
        <f t="shared" si="69"/>
        <v>6000</v>
      </c>
      <c r="AK202" s="1">
        <f t="shared" si="70"/>
        <v>4943.6899999999996</v>
      </c>
    </row>
    <row r="203" spans="1:37" ht="29">
      <c r="C203" s="430"/>
      <c r="D203" s="430"/>
      <c r="E203" s="431"/>
      <c r="F203" s="431"/>
      <c r="G203" s="431"/>
      <c r="H203" s="431"/>
      <c r="I203" s="431"/>
      <c r="J203" s="431"/>
      <c r="K203" s="431"/>
      <c r="L203" s="431"/>
      <c r="M203" s="431"/>
      <c r="N203" s="431"/>
      <c r="O203" s="430"/>
      <c r="P203" s="427"/>
      <c r="Q203" s="423"/>
      <c r="R203" s="424"/>
      <c r="S203" s="425"/>
      <c r="T203" s="419"/>
      <c r="U203" s="423"/>
      <c r="V203" s="423"/>
      <c r="W203" s="425"/>
      <c r="X203" s="426" t="s">
        <v>497</v>
      </c>
      <c r="Y203" s="58"/>
    </row>
    <row r="204" spans="1:37" ht="43.5">
      <c r="C204" s="430"/>
      <c r="D204" s="430"/>
      <c r="E204" s="431"/>
      <c r="F204" s="431"/>
      <c r="G204" s="431"/>
      <c r="H204" s="431"/>
      <c r="I204" s="431"/>
      <c r="J204" s="431"/>
      <c r="K204" s="431"/>
      <c r="L204" s="431"/>
      <c r="M204" s="431"/>
      <c r="N204" s="431"/>
      <c r="O204" s="430"/>
      <c r="P204" s="427"/>
      <c r="Q204" s="423"/>
      <c r="R204" s="424"/>
      <c r="S204" s="425"/>
      <c r="T204" s="419"/>
      <c r="U204" s="423"/>
      <c r="V204" s="423"/>
      <c r="W204" s="425"/>
      <c r="X204" s="244" t="s">
        <v>196</v>
      </c>
      <c r="Y204" s="58"/>
    </row>
    <row r="205" spans="1:37">
      <c r="A205" s="43">
        <v>146</v>
      </c>
      <c r="C205" s="253" t="s">
        <v>73</v>
      </c>
      <c r="D205" s="261"/>
      <c r="E205" s="262"/>
      <c r="F205" s="263"/>
      <c r="G205" s="263"/>
      <c r="H205" s="263"/>
      <c r="I205" s="263"/>
      <c r="J205" s="263"/>
      <c r="K205" s="263"/>
      <c r="L205" s="263"/>
      <c r="M205" s="263"/>
      <c r="N205" s="263"/>
      <c r="O205" s="253"/>
      <c r="P205" s="250">
        <v>10000</v>
      </c>
      <c r="Q205" s="250">
        <v>10000</v>
      </c>
      <c r="R205" s="251">
        <f t="shared" si="66"/>
        <v>0</v>
      </c>
      <c r="S205" s="252">
        <f t="shared" si="67"/>
        <v>0</v>
      </c>
      <c r="T205" s="253"/>
      <c r="U205" s="267">
        <v>5577.1</v>
      </c>
      <c r="V205" s="250">
        <v>9166.6299999999992</v>
      </c>
      <c r="W205" s="252">
        <f t="shared" si="68"/>
        <v>-0.39158665725571984</v>
      </c>
      <c r="X205" s="584" t="s">
        <v>481</v>
      </c>
      <c r="Y205" s="58"/>
      <c r="AG205" s="1">
        <f t="shared" si="69"/>
        <v>10000</v>
      </c>
      <c r="AK205" s="1">
        <f t="shared" si="70"/>
        <v>5577.1</v>
      </c>
    </row>
    <row r="206" spans="1:37">
      <c r="C206" s="419"/>
      <c r="D206" s="420"/>
      <c r="E206" s="421"/>
      <c r="F206" s="422"/>
      <c r="G206" s="422"/>
      <c r="H206" s="422"/>
      <c r="I206" s="422"/>
      <c r="J206" s="422"/>
      <c r="K206" s="422"/>
      <c r="L206" s="422"/>
      <c r="M206" s="422"/>
      <c r="N206" s="422"/>
      <c r="O206" s="419"/>
      <c r="P206" s="423"/>
      <c r="Q206" s="423"/>
      <c r="R206" s="424"/>
      <c r="S206" s="425"/>
      <c r="T206" s="419"/>
      <c r="U206" s="427"/>
      <c r="V206" s="423"/>
      <c r="W206" s="425"/>
      <c r="X206" s="690" t="s">
        <v>501</v>
      </c>
      <c r="Y206" s="58"/>
    </row>
    <row r="207" spans="1:37" ht="42.75" customHeight="1">
      <c r="C207" s="243"/>
      <c r="D207" s="255"/>
      <c r="E207" s="256"/>
      <c r="F207" s="257"/>
      <c r="G207" s="257"/>
      <c r="H207" s="257"/>
      <c r="I207" s="257"/>
      <c r="J207" s="257"/>
      <c r="K207" s="257"/>
      <c r="L207" s="257"/>
      <c r="M207" s="257"/>
      <c r="N207" s="257"/>
      <c r="O207" s="243"/>
      <c r="P207" s="240"/>
      <c r="Q207" s="240"/>
      <c r="R207" s="241"/>
      <c r="S207" s="242"/>
      <c r="T207" s="243"/>
      <c r="U207" s="268"/>
      <c r="V207" s="240"/>
      <c r="W207" s="242"/>
      <c r="X207" s="244" t="s">
        <v>328</v>
      </c>
      <c r="Y207" s="58"/>
    </row>
    <row r="208" spans="1:37" hidden="1">
      <c r="A208" s="43">
        <v>149</v>
      </c>
      <c r="C208" s="1" t="s">
        <v>74</v>
      </c>
      <c r="P208" s="52">
        <v>0</v>
      </c>
      <c r="Q208" s="52">
        <v>0</v>
      </c>
      <c r="R208" s="38">
        <f t="shared" si="66"/>
        <v>0</v>
      </c>
      <c r="S208" s="4" t="str">
        <f t="shared" si="67"/>
        <v>NA</v>
      </c>
      <c r="U208" s="52">
        <v>0</v>
      </c>
      <c r="V208" s="52">
        <v>0</v>
      </c>
      <c r="W208" s="4" t="str">
        <f t="shared" si="68"/>
        <v>NA</v>
      </c>
      <c r="X208" s="74"/>
      <c r="Y208" s="62"/>
    </row>
    <row r="209" spans="1:37" s="2" customFormat="1">
      <c r="A209" s="43">
        <v>150</v>
      </c>
      <c r="B209" s="27" t="s">
        <v>75</v>
      </c>
      <c r="C209" s="27"/>
      <c r="D209" s="27"/>
      <c r="E209" s="90"/>
      <c r="F209" s="90"/>
      <c r="G209" s="90"/>
      <c r="H209" s="90"/>
      <c r="I209" s="90"/>
      <c r="J209" s="90"/>
      <c r="K209" s="90"/>
      <c r="L209" s="90"/>
      <c r="M209" s="90"/>
      <c r="N209" s="90"/>
      <c r="O209" s="27"/>
      <c r="P209" s="27">
        <f>SUM(P196:P208)</f>
        <v>38258</v>
      </c>
      <c r="Q209" s="27">
        <f>SUM(Q196:Q208)</f>
        <v>41000</v>
      </c>
      <c r="R209" s="27">
        <f>SUM(R196:R208)</f>
        <v>-2742</v>
      </c>
      <c r="S209" s="28">
        <f t="shared" si="67"/>
        <v>-6.6878048780487809E-2</v>
      </c>
      <c r="U209" s="27">
        <f>SUM(U196:U208)</f>
        <v>33498.76</v>
      </c>
      <c r="V209" s="27">
        <f>SUM(V196:V208)</f>
        <v>34583.29</v>
      </c>
      <c r="W209" s="28">
        <f t="shared" si="68"/>
        <v>-3.1359942908844092E-2</v>
      </c>
      <c r="X209" s="74"/>
      <c r="Y209" s="61"/>
      <c r="Z209" s="1"/>
    </row>
    <row r="210" spans="1:37">
      <c r="A210" s="43">
        <v>151</v>
      </c>
      <c r="B210" s="27" t="s">
        <v>76</v>
      </c>
      <c r="C210" s="27"/>
      <c r="D210" s="27"/>
      <c r="E210" s="90"/>
      <c r="F210" s="90"/>
      <c r="G210" s="90"/>
      <c r="H210" s="90"/>
      <c r="I210" s="90"/>
      <c r="J210" s="90"/>
      <c r="K210" s="90"/>
      <c r="L210" s="90"/>
      <c r="M210" s="90"/>
      <c r="N210" s="90"/>
      <c r="O210" s="27"/>
      <c r="P210" s="27">
        <f>+P193+P209</f>
        <v>71208</v>
      </c>
      <c r="Q210" s="27">
        <f>+Q193+Q209</f>
        <v>73800</v>
      </c>
      <c r="R210" s="27">
        <f>+R193+R209</f>
        <v>-2592</v>
      </c>
      <c r="S210" s="28">
        <f t="shared" si="67"/>
        <v>-3.5121951219512199E-2</v>
      </c>
      <c r="U210" s="27">
        <f>+U193+U209</f>
        <v>62218.729999999996</v>
      </c>
      <c r="V210" s="27">
        <f>+V193+V209</f>
        <v>65154.179999999993</v>
      </c>
      <c r="W210" s="28">
        <f t="shared" si="68"/>
        <v>-4.5053901376703648E-2</v>
      </c>
      <c r="X210" s="73"/>
      <c r="Y210" s="59"/>
    </row>
    <row r="211" spans="1:37" ht="4.5" customHeight="1">
      <c r="A211" s="43">
        <v>152</v>
      </c>
      <c r="S211" s="5"/>
      <c r="X211" s="73"/>
      <c r="Y211" s="59"/>
    </row>
    <row r="212" spans="1:37" ht="18.5">
      <c r="A212" s="43">
        <v>153</v>
      </c>
      <c r="B212" s="7" t="s">
        <v>77</v>
      </c>
      <c r="S212" s="5"/>
      <c r="X212" s="73"/>
      <c r="Y212" s="59"/>
    </row>
    <row r="213" spans="1:37">
      <c r="A213" s="43">
        <v>154</v>
      </c>
      <c r="B213" s="2" t="s">
        <v>78</v>
      </c>
      <c r="S213" s="5"/>
      <c r="X213" s="73"/>
      <c r="Y213" s="59"/>
    </row>
    <row r="214" spans="1:37" ht="29">
      <c r="C214" s="243" t="s">
        <v>79</v>
      </c>
      <c r="D214" s="255"/>
      <c r="E214" s="256"/>
      <c r="F214" s="257"/>
      <c r="G214" s="257"/>
      <c r="H214" s="257"/>
      <c r="I214" s="257"/>
      <c r="J214" s="257"/>
      <c r="K214" s="257"/>
      <c r="L214" s="257"/>
      <c r="M214" s="257"/>
      <c r="N214" s="257"/>
      <c r="O214" s="243"/>
      <c r="P214" s="268">
        <v>-8185</v>
      </c>
      <c r="Q214" s="268">
        <v>0</v>
      </c>
      <c r="R214" s="241">
        <f t="shared" ref="R214:R219" si="71">+P214-Q214</f>
        <v>-8185</v>
      </c>
      <c r="S214" s="242" t="str">
        <f t="shared" ref="S214:S220" si="72">IF(Q214=0,"NA",(+P214-Q214)/Q214)</f>
        <v>NA</v>
      </c>
      <c r="T214" s="243"/>
      <c r="U214" s="240">
        <v>0</v>
      </c>
      <c r="V214" s="240">
        <v>0</v>
      </c>
      <c r="W214" s="242" t="str">
        <f t="shared" ref="W214:W220" si="73">IF(V214=0,"NA",(+U214-V214)/V214)</f>
        <v>NA</v>
      </c>
      <c r="X214" s="244" t="s">
        <v>374</v>
      </c>
      <c r="Y214" s="58"/>
    </row>
    <row r="215" spans="1:37" hidden="1">
      <c r="C215" s="248" t="s">
        <v>191</v>
      </c>
      <c r="D215" s="258"/>
      <c r="E215" s="259"/>
      <c r="F215" s="260"/>
      <c r="G215" s="260"/>
      <c r="H215" s="260"/>
      <c r="I215" s="260"/>
      <c r="J215" s="260"/>
      <c r="K215" s="260"/>
      <c r="L215" s="260"/>
      <c r="M215" s="260"/>
      <c r="N215" s="260"/>
      <c r="O215" s="248"/>
      <c r="P215" s="266">
        <v>0</v>
      </c>
      <c r="Q215" s="266">
        <v>0</v>
      </c>
      <c r="R215" s="246">
        <f t="shared" si="71"/>
        <v>0</v>
      </c>
      <c r="S215" s="247" t="str">
        <f t="shared" si="72"/>
        <v>NA</v>
      </c>
      <c r="T215" s="248"/>
      <c r="U215" s="245">
        <v>0</v>
      </c>
      <c r="V215" s="245">
        <v>0</v>
      </c>
      <c r="W215" s="247" t="str">
        <f t="shared" si="73"/>
        <v>NA</v>
      </c>
      <c r="X215" s="249"/>
      <c r="Y215" s="58"/>
    </row>
    <row r="216" spans="1:37" ht="43.5">
      <c r="A216" s="43">
        <v>156</v>
      </c>
      <c r="C216" s="248" t="s">
        <v>151</v>
      </c>
      <c r="D216" s="258"/>
      <c r="E216" s="259"/>
      <c r="F216" s="260"/>
      <c r="G216" s="260"/>
      <c r="H216" s="260"/>
      <c r="I216" s="260"/>
      <c r="J216" s="260"/>
      <c r="K216" s="260"/>
      <c r="L216" s="260"/>
      <c r="M216" s="260"/>
      <c r="N216" s="260"/>
      <c r="O216" s="248"/>
      <c r="P216" s="266">
        <v>0</v>
      </c>
      <c r="Q216" s="266">
        <v>0</v>
      </c>
      <c r="R216" s="246">
        <f t="shared" si="71"/>
        <v>0</v>
      </c>
      <c r="S216" s="247" t="str">
        <f t="shared" si="72"/>
        <v>NA</v>
      </c>
      <c r="T216" s="248"/>
      <c r="U216" s="266">
        <v>0</v>
      </c>
      <c r="V216" s="245">
        <v>0</v>
      </c>
      <c r="W216" s="247" t="str">
        <f t="shared" si="73"/>
        <v>NA</v>
      </c>
      <c r="X216" s="249" t="s">
        <v>375</v>
      </c>
      <c r="Y216" s="58"/>
    </row>
    <row r="217" spans="1:37" ht="29">
      <c r="A217" s="43">
        <v>157</v>
      </c>
      <c r="C217" s="248" t="s">
        <v>156</v>
      </c>
      <c r="D217" s="258"/>
      <c r="E217" s="259"/>
      <c r="F217" s="260"/>
      <c r="G217" s="260"/>
      <c r="H217" s="260"/>
      <c r="I217" s="260"/>
      <c r="J217" s="260"/>
      <c r="K217" s="260"/>
      <c r="L217" s="260"/>
      <c r="M217" s="260"/>
      <c r="N217" s="260"/>
      <c r="O217" s="248"/>
      <c r="P217" s="266">
        <v>0</v>
      </c>
      <c r="Q217" s="266">
        <v>16</v>
      </c>
      <c r="R217" s="246">
        <f t="shared" si="71"/>
        <v>-16</v>
      </c>
      <c r="S217" s="247">
        <f t="shared" si="72"/>
        <v>-1</v>
      </c>
      <c r="T217" s="248"/>
      <c r="U217" s="266">
        <v>0</v>
      </c>
      <c r="V217" s="245">
        <v>0</v>
      </c>
      <c r="W217" s="247" t="str">
        <f t="shared" si="73"/>
        <v>NA</v>
      </c>
      <c r="X217" s="249" t="s">
        <v>232</v>
      </c>
      <c r="Y217" s="59"/>
    </row>
    <row r="218" spans="1:37" ht="29">
      <c r="A218" s="43">
        <v>157</v>
      </c>
      <c r="C218" s="253" t="s">
        <v>185</v>
      </c>
      <c r="D218" s="261"/>
      <c r="E218" s="262"/>
      <c r="F218" s="263"/>
      <c r="G218" s="263"/>
      <c r="H218" s="263"/>
      <c r="I218" s="263"/>
      <c r="J218" s="263"/>
      <c r="K218" s="263"/>
      <c r="L218" s="263"/>
      <c r="M218" s="263"/>
      <c r="N218" s="263"/>
      <c r="O218" s="253"/>
      <c r="P218" s="267">
        <v>0</v>
      </c>
      <c r="Q218" s="267">
        <v>0</v>
      </c>
      <c r="R218" s="251">
        <f t="shared" si="71"/>
        <v>0</v>
      </c>
      <c r="S218" s="252" t="str">
        <f t="shared" si="72"/>
        <v>NA</v>
      </c>
      <c r="T218" s="253"/>
      <c r="U218" s="250">
        <v>0</v>
      </c>
      <c r="V218" s="250">
        <v>0</v>
      </c>
      <c r="W218" s="252" t="str">
        <f t="shared" si="73"/>
        <v>NA</v>
      </c>
      <c r="X218" s="254" t="s">
        <v>186</v>
      </c>
      <c r="Y218" s="59"/>
      <c r="Z218" s="2"/>
    </row>
    <row r="219" spans="1:37">
      <c r="A219" s="43">
        <v>158</v>
      </c>
      <c r="C219" s="1" t="s">
        <v>80</v>
      </c>
      <c r="P219" s="54">
        <v>0</v>
      </c>
      <c r="Q219" s="54">
        <v>0</v>
      </c>
      <c r="R219" s="38">
        <f t="shared" si="71"/>
        <v>0</v>
      </c>
      <c r="S219" s="4" t="str">
        <f t="shared" si="72"/>
        <v>NA</v>
      </c>
      <c r="U219" s="52">
        <v>0</v>
      </c>
      <c r="V219" s="52">
        <v>0</v>
      </c>
      <c r="W219" s="4" t="str">
        <f t="shared" si="73"/>
        <v>NA</v>
      </c>
      <c r="X219" s="62"/>
      <c r="Y219" s="62" t="s">
        <v>139</v>
      </c>
      <c r="Z219" s="2">
        <v>16</v>
      </c>
    </row>
    <row r="220" spans="1:37" s="2" customFormat="1">
      <c r="A220" s="1"/>
      <c r="B220" s="29" t="s">
        <v>81</v>
      </c>
      <c r="C220" s="29"/>
      <c r="D220" s="29"/>
      <c r="E220" s="91"/>
      <c r="F220" s="91"/>
      <c r="G220" s="91"/>
      <c r="H220" s="91"/>
      <c r="I220" s="91"/>
      <c r="J220" s="91"/>
      <c r="K220" s="91"/>
      <c r="L220" s="91"/>
      <c r="M220" s="91"/>
      <c r="N220" s="91"/>
      <c r="O220" s="29"/>
      <c r="P220" s="29">
        <f>SUM(P214:P219)</f>
        <v>-8185</v>
      </c>
      <c r="Q220" s="29">
        <f>SUM(Q214:Q219)</f>
        <v>16</v>
      </c>
      <c r="R220" s="29">
        <f>SUM(R214:R219)</f>
        <v>-8201</v>
      </c>
      <c r="S220" s="30">
        <f t="shared" si="72"/>
        <v>-512.5625</v>
      </c>
      <c r="U220" s="29">
        <f>SUM(U214:U219)</f>
        <v>0</v>
      </c>
      <c r="V220" s="29">
        <f>SUM(V214:V219)</f>
        <v>0</v>
      </c>
      <c r="W220" s="30" t="str">
        <f t="shared" si="73"/>
        <v>NA</v>
      </c>
      <c r="X220" s="74"/>
      <c r="Y220" s="61"/>
      <c r="Z220" s="1"/>
    </row>
    <row r="221" spans="1:37" ht="7.5" customHeight="1">
      <c r="A221" s="43">
        <v>160</v>
      </c>
      <c r="D221" s="1"/>
      <c r="E221" s="39"/>
      <c r="S221" s="5"/>
      <c r="X221" s="73"/>
      <c r="Y221" s="59"/>
    </row>
    <row r="222" spans="1:37">
      <c r="A222" s="43">
        <v>161</v>
      </c>
      <c r="B222" s="31" t="s">
        <v>82</v>
      </c>
      <c r="C222" s="32"/>
      <c r="D222" s="32"/>
      <c r="E222" s="92"/>
      <c r="F222" s="92"/>
      <c r="G222" s="92"/>
      <c r="H222" s="92"/>
      <c r="I222" s="92"/>
      <c r="J222" s="92"/>
      <c r="K222" s="92"/>
      <c r="L222" s="92"/>
      <c r="M222" s="92"/>
      <c r="N222" s="92"/>
      <c r="O222" s="32"/>
      <c r="P222" s="31">
        <f>P43+P104+P174+P210+P220</f>
        <v>476500</v>
      </c>
      <c r="Q222" s="31">
        <f>+Q104+Q174+Q210+Q220+Q43</f>
        <v>500500</v>
      </c>
      <c r="R222" s="31">
        <f>+R104+R174+R210+R220+R43</f>
        <v>-24000</v>
      </c>
      <c r="S222" s="33">
        <f>IF(Q222=0,"NA",(+P222-Q222)/Q222)</f>
        <v>-4.7952047952047952E-2</v>
      </c>
      <c r="U222" s="31">
        <f>+U104+U174+U210+U220+U43</f>
        <v>367238.95999999996</v>
      </c>
      <c r="V222" s="31">
        <f>+V104+V174+V210+V220+V43</f>
        <v>451547.92</v>
      </c>
      <c r="W222" s="33">
        <f>IF(V222=0,"NA",(+U222-V222)/V222)</f>
        <v>-0.18671099182562956</v>
      </c>
      <c r="X222" s="73"/>
      <c r="Y222" s="59"/>
      <c r="AD222" s="409">
        <f>+SUM(AD5:AD220)-AD95-AD117-AD129-AD139-AD158-AD160</f>
        <v>154722.76800000001</v>
      </c>
      <c r="AE222" s="409">
        <f>+SUM(AE5:AE220)-AE95-AE117-AE129-AE139-AE158-AE160</f>
        <v>94765.018000000011</v>
      </c>
      <c r="AF222" s="409">
        <f>+SUM(AF5:AF220)-AF95-AF117-AF129-AF139-AF158-AF160</f>
        <v>121852.16400000003</v>
      </c>
      <c r="AG222" s="409">
        <f>+SUM(AG5:AG220)-AG95-AG117-AG129-AG139-AG158-AG160</f>
        <v>113345.04999999999</v>
      </c>
      <c r="AH222" s="409">
        <f>+SUM(AH5:AH220)-AH95-AH117-AH129-AH139-AH158</f>
        <v>116280.38049000003</v>
      </c>
      <c r="AI222" s="409">
        <f>+SUM(AI5:AI220)-AI95-AI117-AI129-AI139-AI158</f>
        <v>58832.975489999997</v>
      </c>
      <c r="AJ222" s="409">
        <f>+SUM(AJ5:AJ220)-AJ95-AJ117-AJ129-AJ139-AJ158</f>
        <v>97152.921020000023</v>
      </c>
      <c r="AK222" s="409">
        <f>+SUM(AK5:AK220)-AK95-AK117-AK129-AK139-AK158</f>
        <v>95103.944000000003</v>
      </c>
    </row>
    <row r="223" spans="1:37">
      <c r="A223" s="43">
        <v>162</v>
      </c>
      <c r="B223" s="31" t="s">
        <v>83</v>
      </c>
      <c r="C223" s="32"/>
      <c r="D223" s="32"/>
      <c r="E223" s="92"/>
      <c r="F223" s="92"/>
      <c r="G223" s="92"/>
      <c r="H223" s="92"/>
      <c r="I223" s="92"/>
      <c r="J223" s="92"/>
      <c r="K223" s="92"/>
      <c r="L223" s="92"/>
      <c r="M223" s="92"/>
      <c r="N223" s="92"/>
      <c r="O223" s="32"/>
      <c r="P223" s="31">
        <f>ROUND(+P24-P222,0)</f>
        <v>22000</v>
      </c>
      <c r="Q223" s="31">
        <f>ROUND(+Q24-Q222,0)</f>
        <v>0</v>
      </c>
      <c r="R223" s="31">
        <f>ROUND(+R24-R222,0)</f>
        <v>22000</v>
      </c>
      <c r="S223" s="33" t="str">
        <f>IF(Q223=0,"NA",(+P223-Q223)/Q223)</f>
        <v>NA</v>
      </c>
      <c r="U223" s="31">
        <f>+U24-U222</f>
        <v>75859.97000000003</v>
      </c>
      <c r="V223" s="31">
        <f>+V24-V222</f>
        <v>1228.5900000000256</v>
      </c>
      <c r="W223" s="33">
        <f>IF(V223=0,"NA",(+U223-V223)/V223)</f>
        <v>60.745553846277808</v>
      </c>
      <c r="X223" s="73"/>
      <c r="Y223" s="59"/>
      <c r="AD223" s="1">
        <f>SUM(AD222:AG222)-P222</f>
        <v>8185.0000000000582</v>
      </c>
    </row>
    <row r="224" spans="1:37" ht="15" thickBot="1">
      <c r="S224" s="5"/>
      <c r="X224" s="73"/>
      <c r="Y224" s="59"/>
    </row>
    <row r="225" spans="1:26">
      <c r="B225" s="105" t="s">
        <v>166</v>
      </c>
      <c r="C225" s="106"/>
      <c r="D225" s="106"/>
      <c r="E225" s="107"/>
      <c r="F225" s="107"/>
      <c r="G225" s="107"/>
      <c r="H225" s="107"/>
      <c r="I225" s="107"/>
      <c r="J225" s="107"/>
      <c r="K225" s="107"/>
      <c r="L225" s="107"/>
      <c r="M225" s="107"/>
      <c r="N225" s="107"/>
      <c r="O225" s="106"/>
      <c r="P225" s="108">
        <f>+P24-P22</f>
        <v>498500</v>
      </c>
      <c r="Q225" s="108">
        <f>+Q24-Q22</f>
        <v>500500</v>
      </c>
      <c r="R225" s="109">
        <f>+P225-Q225</f>
        <v>-2000</v>
      </c>
      <c r="S225" s="110">
        <f>IF(Q225=0,"NA",(+P225-Q225)/Q225)</f>
        <v>-3.996003996003996E-3</v>
      </c>
      <c r="T225" s="106"/>
      <c r="U225" s="108">
        <f>+U24-U22</f>
        <v>443098.93</v>
      </c>
      <c r="V225" s="108">
        <f>+V24-V22</f>
        <v>452776.51</v>
      </c>
      <c r="W225" s="111">
        <f>IF(V225=0,"NA",(+U225-V225)/V225)</f>
        <v>-2.1373856165815705E-2</v>
      </c>
      <c r="X225" s="62" t="s">
        <v>195</v>
      </c>
      <c r="Y225" s="59"/>
    </row>
    <row r="226" spans="1:26">
      <c r="B226" s="112" t="s">
        <v>158</v>
      </c>
      <c r="C226" s="100"/>
      <c r="D226" s="100"/>
      <c r="E226" s="101"/>
      <c r="F226" s="101"/>
      <c r="G226" s="101"/>
      <c r="H226" s="101"/>
      <c r="I226" s="101"/>
      <c r="J226" s="101"/>
      <c r="K226" s="101"/>
      <c r="L226" s="101"/>
      <c r="M226" s="101"/>
      <c r="N226" s="101"/>
      <c r="O226" s="100"/>
      <c r="P226" s="102">
        <f>+P222-P220</f>
        <v>484685</v>
      </c>
      <c r="Q226" s="102">
        <f>+Q222-Q220</f>
        <v>500484</v>
      </c>
      <c r="R226" s="103">
        <f>+P226-Q226</f>
        <v>-15799</v>
      </c>
      <c r="S226" s="104">
        <f>IF(Q226=0,"NA",(+P226-Q226)/Q226)</f>
        <v>-3.1567442715451442E-2</v>
      </c>
      <c r="T226" s="100"/>
      <c r="U226" s="102">
        <f>+U222-U220</f>
        <v>367238.95999999996</v>
      </c>
      <c r="V226" s="102">
        <f>+V222-V220</f>
        <v>451547.92</v>
      </c>
      <c r="W226" s="113">
        <f>IF(V226=0,"NA",(+U226-V226)/V226)</f>
        <v>-0.18671099182562956</v>
      </c>
      <c r="X226" s="73"/>
      <c r="Y226" s="59"/>
    </row>
    <row r="227" spans="1:26" ht="15" thickBot="1">
      <c r="B227" s="114" t="s">
        <v>167</v>
      </c>
      <c r="C227" s="115"/>
      <c r="D227" s="115"/>
      <c r="E227" s="116"/>
      <c r="F227" s="116"/>
      <c r="G227" s="116"/>
      <c r="H227" s="117"/>
      <c r="I227" s="117"/>
      <c r="J227" s="117"/>
      <c r="K227" s="117"/>
      <c r="L227" s="117"/>
      <c r="M227" s="117"/>
      <c r="N227" s="117"/>
      <c r="O227" s="115"/>
      <c r="P227" s="118">
        <f>+P225-P226</f>
        <v>13815</v>
      </c>
      <c r="Q227" s="118">
        <f>+Q225-Q226</f>
        <v>16</v>
      </c>
      <c r="R227" s="119">
        <f>+P227-Q227</f>
        <v>13799</v>
      </c>
      <c r="S227" s="120">
        <f>IF(Q227=0,"NA",(+P227-Q227)/Q227)</f>
        <v>862.4375</v>
      </c>
      <c r="T227" s="115"/>
      <c r="U227" s="118">
        <f>+U225-U226</f>
        <v>75859.97000000003</v>
      </c>
      <c r="V227" s="118">
        <f>+V225-V226</f>
        <v>1228.5900000000256</v>
      </c>
      <c r="W227" s="121">
        <f>IF(V227=0,"NA",(+U227-V227)/V227)</f>
        <v>60.745553846277808</v>
      </c>
      <c r="X227" s="73"/>
      <c r="Y227" s="59"/>
    </row>
    <row r="228" spans="1:26">
      <c r="S228" s="5"/>
      <c r="X228" s="59"/>
      <c r="Y228" s="59"/>
    </row>
    <row r="229" spans="1:26">
      <c r="H229" s="93"/>
      <c r="I229" s="93"/>
      <c r="J229" s="93"/>
      <c r="K229" s="93"/>
      <c r="L229" s="93"/>
      <c r="M229" s="93"/>
      <c r="N229" s="93"/>
      <c r="W229" s="1"/>
      <c r="X229" s="59"/>
      <c r="Y229" s="59"/>
    </row>
    <row r="230" spans="1:26">
      <c r="S230" s="5"/>
      <c r="X230" s="59"/>
      <c r="Y230" s="59"/>
    </row>
    <row r="231" spans="1:26">
      <c r="D231" s="75"/>
      <c r="E231" s="94"/>
      <c r="S231" s="5"/>
      <c r="X231" s="59"/>
      <c r="Y231" s="59"/>
    </row>
    <row r="232" spans="1:26">
      <c r="S232" s="5"/>
      <c r="X232" s="59"/>
      <c r="Y232" s="59"/>
    </row>
    <row r="233" spans="1:26">
      <c r="A233" s="1"/>
      <c r="B233" s="1"/>
      <c r="S233" s="5"/>
      <c r="W233" s="1"/>
      <c r="X233" s="67"/>
      <c r="Y233" s="67"/>
      <c r="Z233" s="2"/>
    </row>
    <row r="234" spans="1:26">
      <c r="A234" s="1"/>
      <c r="B234" s="1"/>
      <c r="S234" s="5"/>
      <c r="W234" s="1"/>
      <c r="X234" s="67"/>
      <c r="Y234" s="67"/>
    </row>
    <row r="235" spans="1:26">
      <c r="A235" s="1"/>
      <c r="B235" s="1"/>
      <c r="S235" s="5"/>
      <c r="W235" s="1"/>
      <c r="X235" s="67"/>
      <c r="Y235" s="67"/>
    </row>
    <row r="236" spans="1:26">
      <c r="B236" s="1"/>
      <c r="S236" s="5"/>
      <c r="W236" s="1"/>
      <c r="X236" s="67"/>
      <c r="Y236" s="67"/>
    </row>
    <row r="237" spans="1:26">
      <c r="A237" s="1"/>
      <c r="B237" s="1"/>
      <c r="S237" s="5"/>
      <c r="W237" s="1"/>
      <c r="X237" s="67"/>
      <c r="Y237" s="67"/>
    </row>
    <row r="238" spans="1:26">
      <c r="A238" s="1"/>
      <c r="B238" s="1"/>
      <c r="S238" s="5"/>
      <c r="W238" s="1"/>
      <c r="X238" s="67"/>
      <c r="Y238" s="67"/>
    </row>
    <row r="239" spans="1:26">
      <c r="A239" s="1"/>
      <c r="B239" s="1"/>
      <c r="S239" s="5"/>
      <c r="W239" s="1"/>
      <c r="X239" s="67"/>
      <c r="Y239" s="38"/>
    </row>
    <row r="240" spans="1:26">
      <c r="A240" s="1"/>
      <c r="B240" s="1"/>
      <c r="S240" s="5"/>
      <c r="W240" s="1"/>
      <c r="X240" s="67"/>
      <c r="Y240" s="38"/>
    </row>
    <row r="241" spans="1:25">
      <c r="A241" s="1"/>
      <c r="B241" s="1"/>
      <c r="S241" s="5"/>
      <c r="W241" s="1"/>
      <c r="X241" s="67"/>
      <c r="Y241" s="38"/>
    </row>
    <row r="242" spans="1:25">
      <c r="A242" s="1"/>
      <c r="B242" s="1"/>
      <c r="S242" s="5"/>
      <c r="W242" s="1"/>
      <c r="X242" s="67"/>
      <c r="Y242" s="38"/>
    </row>
    <row r="243" spans="1:25">
      <c r="A243" s="1"/>
      <c r="B243" s="1"/>
      <c r="S243" s="5"/>
      <c r="W243" s="1"/>
      <c r="X243" s="67"/>
      <c r="Y243" s="38"/>
    </row>
    <row r="244" spans="1:25">
      <c r="A244" s="1"/>
      <c r="B244" s="1"/>
      <c r="S244" s="5"/>
      <c r="W244" s="1"/>
      <c r="X244" s="67"/>
      <c r="Y244" s="38"/>
    </row>
    <row r="245" spans="1:25">
      <c r="A245" s="1"/>
      <c r="B245" s="1"/>
      <c r="S245" s="5"/>
      <c r="W245" s="1"/>
      <c r="X245" s="67"/>
      <c r="Y245" s="38"/>
    </row>
    <row r="246" spans="1:25">
      <c r="A246" s="1"/>
      <c r="B246" s="1"/>
      <c r="S246" s="5"/>
      <c r="W246" s="1"/>
      <c r="X246" s="68"/>
      <c r="Y246" s="38"/>
    </row>
    <row r="247" spans="1:25">
      <c r="Y247" s="38"/>
    </row>
    <row r="248" spans="1:25">
      <c r="Y248" s="47"/>
    </row>
    <row r="249" spans="1:25">
      <c r="Y249" s="47"/>
    </row>
    <row r="250" spans="1:25">
      <c r="Y250" s="47"/>
    </row>
    <row r="251" spans="1:25">
      <c r="Y251" s="47"/>
    </row>
    <row r="252" spans="1:25">
      <c r="Y252" s="47"/>
    </row>
    <row r="253" spans="1:25">
      <c r="Y253" s="47"/>
    </row>
    <row r="254" spans="1:25">
      <c r="Y254" s="47"/>
    </row>
    <row r="255" spans="1:25">
      <c r="Y255" s="47"/>
    </row>
    <row r="256" spans="1:25">
      <c r="Y256" s="47"/>
    </row>
    <row r="257" spans="25:25">
      <c r="Y257" s="47"/>
    </row>
    <row r="258" spans="25:25">
      <c r="Y258" s="47"/>
    </row>
    <row r="259" spans="25:25">
      <c r="Y259" s="47"/>
    </row>
    <row r="260" spans="25:25">
      <c r="Y260" s="47"/>
    </row>
    <row r="261" spans="25:25">
      <c r="Y261" s="47"/>
    </row>
    <row r="262" spans="25:25">
      <c r="Y262" s="47"/>
    </row>
    <row r="263" spans="25:25">
      <c r="Y263" s="47"/>
    </row>
    <row r="264" spans="25:25">
      <c r="Y264" s="47"/>
    </row>
    <row r="265" spans="25:25">
      <c r="Y265" s="47"/>
    </row>
    <row r="266" spans="25:25">
      <c r="Y266" s="47"/>
    </row>
    <row r="267" spans="25:25">
      <c r="Y267" s="47"/>
    </row>
    <row r="268" spans="25:25">
      <c r="Y268" s="47"/>
    </row>
    <row r="269" spans="25:25">
      <c r="Y269" s="47"/>
    </row>
    <row r="270" spans="25:25">
      <c r="Y270" s="47"/>
    </row>
    <row r="271" spans="25:25">
      <c r="Y271" s="47"/>
    </row>
    <row r="272" spans="25:25">
      <c r="Y272" s="47"/>
    </row>
    <row r="273" spans="25:25">
      <c r="Y273" s="47"/>
    </row>
    <row r="274" spans="25:25">
      <c r="Y274" s="47"/>
    </row>
    <row r="275" spans="25:25">
      <c r="Y275" s="47"/>
    </row>
  </sheetData>
  <mergeCells count="26">
    <mergeCell ref="AD3:AG3"/>
    <mergeCell ref="AH3:AK3"/>
    <mergeCell ref="B1:X1"/>
    <mergeCell ref="O106:O107"/>
    <mergeCell ref="P2:S2"/>
    <mergeCell ref="U2:W2"/>
    <mergeCell ref="R3:S3"/>
    <mergeCell ref="U3:U4"/>
    <mergeCell ref="V3:V4"/>
    <mergeCell ref="W3:W4"/>
    <mergeCell ref="P3:P4"/>
    <mergeCell ref="Q3:Q4"/>
    <mergeCell ref="E103:H103"/>
    <mergeCell ref="E101:M101"/>
    <mergeCell ref="G107:H107"/>
    <mergeCell ref="G106:H106"/>
    <mergeCell ref="I103:L103"/>
    <mergeCell ref="C111:D111"/>
    <mergeCell ref="C153:D153"/>
    <mergeCell ref="G120:H120"/>
    <mergeCell ref="C202:D202"/>
    <mergeCell ref="E157:H157"/>
    <mergeCell ref="I157:L157"/>
    <mergeCell ref="E156:O156"/>
    <mergeCell ref="L111:O111"/>
    <mergeCell ref="C169:D169"/>
  </mergeCells>
  <pageMargins left="0" right="0" top="0.25" bottom="0.5" header="0.3" footer="0.3"/>
  <pageSetup scale="39" fitToHeight="0" orientation="landscape" r:id="rId1"/>
  <headerFooter>
    <oddFooter>&amp;C&amp;P of &amp;N&amp;R&amp;D</oddFooter>
  </headerFooter>
  <drawing r:id="rId2"/>
  <legacyDrawing r:id="rId3"/>
</worksheet>
</file>

<file path=xl/worksheets/sheet6.xml><?xml version="1.0" encoding="utf-8"?>
<worksheet xmlns="http://schemas.openxmlformats.org/spreadsheetml/2006/main" xmlns:r="http://schemas.openxmlformats.org/officeDocument/2006/relationships">
  <dimension ref="A1:C7"/>
  <sheetViews>
    <sheetView showGridLines="0" workbookViewId="0">
      <selection activeCell="B3" sqref="B3:B6"/>
    </sheetView>
  </sheetViews>
  <sheetFormatPr defaultRowHeight="21"/>
  <cols>
    <col min="1" max="1" width="5.7265625" style="695" customWidth="1"/>
    <col min="2" max="2" width="15.7265625" style="695" customWidth="1"/>
    <col min="3" max="3" width="100.453125" style="695" customWidth="1"/>
    <col min="4" max="16384" width="8.7265625" style="695"/>
  </cols>
  <sheetData>
    <row r="1" spans="1:3" ht="26">
      <c r="A1" s="801" t="s">
        <v>505</v>
      </c>
      <c r="B1" s="801"/>
      <c r="C1" s="801"/>
    </row>
    <row r="3" spans="1:3" ht="42" customHeight="1">
      <c r="A3" s="696" t="s">
        <v>506</v>
      </c>
      <c r="B3" s="698">
        <v>3000</v>
      </c>
      <c r="C3" s="697" t="s">
        <v>523</v>
      </c>
    </row>
    <row r="4" spans="1:3" ht="42" customHeight="1">
      <c r="A4" s="696" t="s">
        <v>507</v>
      </c>
      <c r="B4" s="698">
        <v>4000</v>
      </c>
      <c r="C4" s="697" t="s">
        <v>509</v>
      </c>
    </row>
    <row r="5" spans="1:3" ht="42" customHeight="1">
      <c r="A5" s="696" t="s">
        <v>508</v>
      </c>
      <c r="B5" s="698">
        <v>2759</v>
      </c>
      <c r="C5" s="697" t="s">
        <v>513</v>
      </c>
    </row>
    <row r="6" spans="1:3" ht="42" customHeight="1">
      <c r="A6" s="696" t="s">
        <v>511</v>
      </c>
      <c r="B6" s="698">
        <v>8000</v>
      </c>
      <c r="C6" s="697" t="s">
        <v>510</v>
      </c>
    </row>
    <row r="7" spans="1:3" ht="42" customHeight="1">
      <c r="A7" s="696" t="s">
        <v>512</v>
      </c>
      <c r="B7" s="698">
        <v>8185</v>
      </c>
      <c r="C7" s="697" t="s">
        <v>514</v>
      </c>
    </row>
  </sheetData>
  <mergeCells count="1">
    <mergeCell ref="A1:C1"/>
  </mergeCells>
  <pageMargins left="0.7" right="0.7" top="0.75" bottom="0.75" header="0.3" footer="0.3"/>
  <pageSetup orientation="landscape" horizontalDpi="0" verticalDpi="0" r:id="rId1"/>
</worksheet>
</file>

<file path=xl/worksheets/sheet7.xml><?xml version="1.0" encoding="utf-8"?>
<worksheet xmlns="http://schemas.openxmlformats.org/spreadsheetml/2006/main" xmlns:r="http://schemas.openxmlformats.org/officeDocument/2006/relationships">
  <dimension ref="A1:I15"/>
  <sheetViews>
    <sheetView showGridLines="0" topLeftCell="A3" workbookViewId="0">
      <selection activeCell="C14" sqref="C14"/>
    </sheetView>
  </sheetViews>
  <sheetFormatPr defaultRowHeight="14.5"/>
  <cols>
    <col min="2" max="2" width="31.36328125" customWidth="1"/>
    <col min="6" max="6" width="10.453125" customWidth="1"/>
  </cols>
  <sheetData>
    <row r="1" spans="1:9" ht="23.5">
      <c r="A1" s="804" t="s">
        <v>87</v>
      </c>
      <c r="B1" s="804"/>
      <c r="C1" s="804"/>
      <c r="D1" s="804"/>
      <c r="E1" s="804"/>
      <c r="F1" s="804"/>
      <c r="G1" s="804"/>
    </row>
    <row r="4" spans="1:9" ht="29.5" customHeight="1">
      <c r="C4" s="794" t="str">
        <f>Bud_Yr&amp;" Budget"</f>
        <v>2021 Budget</v>
      </c>
      <c r="D4" s="795" t="s">
        <v>552</v>
      </c>
      <c r="E4" s="795" t="str">
        <f>Bud_Yr-1&amp;" Budget"</f>
        <v>2020 Budget</v>
      </c>
      <c r="F4" s="788" t="str">
        <f>Bud_Yr&amp;" Budget vs             "&amp;Bud_Yr-1&amp;" Budget"</f>
        <v>2021 Budget vs             2020 Budget</v>
      </c>
      <c r="G4" s="789"/>
    </row>
    <row r="5" spans="1:9">
      <c r="C5" s="802"/>
      <c r="D5" s="782"/>
      <c r="E5" s="803"/>
      <c r="F5" s="587" t="s">
        <v>113</v>
      </c>
      <c r="G5" s="588" t="s">
        <v>114</v>
      </c>
    </row>
    <row r="6" spans="1:9">
      <c r="B6" s="589" t="s">
        <v>417</v>
      </c>
      <c r="C6" s="876">
        <f>+E6</f>
        <v>28790</v>
      </c>
      <c r="D6" s="876">
        <f>+E6+1500</f>
        <v>30290</v>
      </c>
      <c r="E6" s="876">
        <f>+'New Year-Full Year'!Q28</f>
        <v>28790</v>
      </c>
      <c r="F6" s="591">
        <f t="shared" ref="F6" si="0">+C6-E6</f>
        <v>0</v>
      </c>
      <c r="G6" s="592">
        <f t="shared" ref="G6" si="1">IF(E6=0,"NA",(+C6-E6)/E6)</f>
        <v>0</v>
      </c>
      <c r="I6" s="627"/>
    </row>
    <row r="7" spans="1:9">
      <c r="B7" s="593" t="s">
        <v>418</v>
      </c>
      <c r="C7" s="590">
        <v>3000</v>
      </c>
      <c r="D7" s="876">
        <f>+E7</f>
        <v>6000</v>
      </c>
      <c r="E7" s="876">
        <f>+'New Year-Full Year'!Q29</f>
        <v>6000</v>
      </c>
      <c r="F7" s="246">
        <f t="shared" ref="F7" si="2">+C7-E7</f>
        <v>-3000</v>
      </c>
      <c r="G7" s="594">
        <f t="shared" ref="G7" si="3">IF(E7=0,"NA",(+C7-E7)/E7)</f>
        <v>-0.5</v>
      </c>
    </row>
    <row r="8" spans="1:9">
      <c r="B8" s="593" t="s">
        <v>419</v>
      </c>
      <c r="C8" s="876">
        <f>+E8+500</f>
        <v>1000</v>
      </c>
      <c r="D8" s="876">
        <f>+E8+1000</f>
        <v>1500</v>
      </c>
      <c r="E8" s="876">
        <f>+'New Year-Full Year'!Q30</f>
        <v>500</v>
      </c>
      <c r="F8" s="246">
        <f t="shared" ref="F8:F14" si="4">+C8-E8</f>
        <v>500</v>
      </c>
      <c r="G8" s="594">
        <f t="shared" ref="G8:G14" si="5">IF(E8=0,"NA",(+C8-E8)/E8)</f>
        <v>1</v>
      </c>
    </row>
    <row r="9" spans="1:9">
      <c r="B9" s="593" t="s">
        <v>427</v>
      </c>
      <c r="C9" s="876">
        <f>+E9+1000</f>
        <v>2000</v>
      </c>
      <c r="D9" s="876">
        <f>+E9+1000</f>
        <v>2000</v>
      </c>
      <c r="E9" s="876">
        <f>+'New Year-Full Year'!Q31</f>
        <v>1000</v>
      </c>
      <c r="F9" s="246">
        <f t="shared" si="4"/>
        <v>1000</v>
      </c>
      <c r="G9" s="594">
        <f t="shared" si="5"/>
        <v>1</v>
      </c>
    </row>
    <row r="10" spans="1:9">
      <c r="B10" s="593" t="s">
        <v>420</v>
      </c>
      <c r="C10" s="876">
        <f t="shared" ref="C8:C14" si="6">+E10</f>
        <v>750</v>
      </c>
      <c r="D10" s="876">
        <f>+E10</f>
        <v>750</v>
      </c>
      <c r="E10" s="876">
        <f>+'New Year-Full Year'!Q32</f>
        <v>750</v>
      </c>
      <c r="F10" s="246">
        <f t="shared" si="4"/>
        <v>0</v>
      </c>
      <c r="G10" s="594">
        <f t="shared" si="5"/>
        <v>0</v>
      </c>
    </row>
    <row r="11" spans="1:9">
      <c r="B11" s="593" t="s">
        <v>421</v>
      </c>
      <c r="C11" s="876">
        <f>+E11+500</f>
        <v>1000</v>
      </c>
      <c r="D11" s="876">
        <f>+E11+1000</f>
        <v>1500</v>
      </c>
      <c r="E11" s="876">
        <f>+'New Year-Full Year'!Q33</f>
        <v>500</v>
      </c>
      <c r="F11" s="246">
        <f t="shared" si="4"/>
        <v>500</v>
      </c>
      <c r="G11" s="594">
        <f t="shared" si="5"/>
        <v>1</v>
      </c>
    </row>
    <row r="12" spans="1:9">
      <c r="B12" s="593" t="s">
        <v>422</v>
      </c>
      <c r="C12" s="876">
        <f>+E12+500</f>
        <v>1500</v>
      </c>
      <c r="D12" s="876">
        <f>+E12+500</f>
        <v>1500</v>
      </c>
      <c r="E12" s="876">
        <f>+'New Year-Full Year'!Q34</f>
        <v>1000</v>
      </c>
      <c r="F12" s="246">
        <f t="shared" si="4"/>
        <v>500</v>
      </c>
      <c r="G12" s="594">
        <f t="shared" si="5"/>
        <v>0.5</v>
      </c>
    </row>
    <row r="13" spans="1:9">
      <c r="B13" s="593" t="s">
        <v>423</v>
      </c>
      <c r="C13" s="876">
        <f>+E13+500</f>
        <v>1500</v>
      </c>
      <c r="D13" s="876">
        <f>+E13+1000</f>
        <v>2000</v>
      </c>
      <c r="E13" s="876">
        <f>+'New Year-Full Year'!Q35</f>
        <v>1000</v>
      </c>
      <c r="F13" s="246">
        <f t="shared" si="4"/>
        <v>500</v>
      </c>
      <c r="G13" s="594">
        <f t="shared" si="5"/>
        <v>0.5</v>
      </c>
    </row>
    <row r="14" spans="1:9">
      <c r="B14" s="593" t="s">
        <v>424</v>
      </c>
      <c r="C14" s="876">
        <f t="shared" si="6"/>
        <v>500</v>
      </c>
      <c r="D14" s="876">
        <f>+E14+500</f>
        <v>1000</v>
      </c>
      <c r="E14" s="876">
        <f>+'New Year-Full Year'!Q36</f>
        <v>500</v>
      </c>
      <c r="F14" s="246">
        <f t="shared" si="4"/>
        <v>0</v>
      </c>
      <c r="G14" s="594">
        <f t="shared" si="5"/>
        <v>0</v>
      </c>
    </row>
    <row r="15" spans="1:9">
      <c r="B15" s="595" t="s">
        <v>170</v>
      </c>
      <c r="C15" s="596">
        <f>+SUM(C6:C14)</f>
        <v>40040</v>
      </c>
      <c r="D15" s="596">
        <f>+SUM(D6:D14)</f>
        <v>46540</v>
      </c>
      <c r="E15" s="596">
        <f>+SUM(E6:E14)</f>
        <v>40040</v>
      </c>
      <c r="F15" s="596">
        <f>+SUM(F6:F14)</f>
        <v>0</v>
      </c>
      <c r="G15" s="597"/>
    </row>
  </sheetData>
  <mergeCells count="5">
    <mergeCell ref="C4:C5"/>
    <mergeCell ref="E4:E5"/>
    <mergeCell ref="F4:G4"/>
    <mergeCell ref="A1:G1"/>
    <mergeCell ref="D4:D5"/>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R71"/>
  <sheetViews>
    <sheetView showGridLines="0" workbookViewId="0">
      <selection activeCell="A4" sqref="A4"/>
    </sheetView>
  </sheetViews>
  <sheetFormatPr defaultRowHeight="14.5" outlineLevelCol="1"/>
  <cols>
    <col min="1" max="1" width="36.36328125" style="144" customWidth="1"/>
    <col min="2" max="2" width="10.453125" style="144" hidden="1" customWidth="1" outlineLevel="1"/>
    <col min="3" max="3" width="10" style="144" hidden="1" customWidth="1" outlineLevel="1"/>
    <col min="4" max="6" width="8.7265625" style="144" hidden="1" customWidth="1" outlineLevel="1"/>
    <col min="7" max="7" width="13.90625" style="144" hidden="1" customWidth="1" collapsed="1"/>
    <col min="8" max="8" width="13.90625" style="144" hidden="1" customWidth="1"/>
    <col min="9" max="9" width="13.90625" style="144" customWidth="1"/>
    <col min="10" max="10" width="23.6328125" style="144" hidden="1" customWidth="1"/>
    <col min="11" max="12" width="13.90625" style="144" customWidth="1"/>
    <col min="13" max="15" width="13.90625" style="144" hidden="1" customWidth="1"/>
    <col min="16" max="16" width="13.90625" style="144" customWidth="1"/>
    <col min="17" max="16384" width="8.7265625" style="144"/>
  </cols>
  <sheetData>
    <row r="1" spans="1:18">
      <c r="L1" s="810" t="s">
        <v>467</v>
      </c>
      <c r="M1" s="811"/>
      <c r="N1" s="811"/>
      <c r="O1" s="811"/>
      <c r="P1" s="812"/>
    </row>
    <row r="2" spans="1:18" ht="43.5">
      <c r="B2" s="806">
        <v>2018</v>
      </c>
      <c r="C2" s="807"/>
      <c r="D2" s="807"/>
      <c r="E2" s="807"/>
      <c r="F2" s="808"/>
      <c r="G2" s="438" t="s">
        <v>199</v>
      </c>
      <c r="H2" s="145" t="s">
        <v>221</v>
      </c>
      <c r="I2" s="438" t="s">
        <v>331</v>
      </c>
      <c r="K2" s="233" t="s">
        <v>475</v>
      </c>
      <c r="L2" s="633" t="s">
        <v>468</v>
      </c>
      <c r="M2" s="633" t="s">
        <v>469</v>
      </c>
      <c r="N2" s="634" t="s">
        <v>470</v>
      </c>
      <c r="O2" s="634" t="s">
        <v>471</v>
      </c>
      <c r="P2" s="633" t="s">
        <v>472</v>
      </c>
    </row>
    <row r="3" spans="1:18">
      <c r="A3" s="177"/>
      <c r="B3" s="178" t="s">
        <v>197</v>
      </c>
      <c r="C3" s="179" t="s">
        <v>169</v>
      </c>
      <c r="D3" s="179" t="s">
        <v>210</v>
      </c>
      <c r="E3" s="179" t="s">
        <v>219</v>
      </c>
      <c r="F3" s="180" t="s">
        <v>204</v>
      </c>
      <c r="G3" s="181"/>
      <c r="H3" s="181"/>
      <c r="I3" s="181"/>
      <c r="K3" s="146"/>
      <c r="L3" s="635"/>
      <c r="M3" s="635"/>
      <c r="N3" s="635"/>
      <c r="O3" s="635"/>
      <c r="P3" s="635"/>
    </row>
    <row r="4" spans="1:18">
      <c r="A4" s="182" t="s">
        <v>42</v>
      </c>
      <c r="B4" s="183">
        <v>52894</v>
      </c>
      <c r="C4" s="128">
        <f>+B7-C6</f>
        <v>46762</v>
      </c>
      <c r="D4" s="128">
        <f>+B7-D6</f>
        <v>46762</v>
      </c>
      <c r="E4" s="128">
        <f>+B4</f>
        <v>52894</v>
      </c>
      <c r="F4" s="138"/>
      <c r="G4" s="184">
        <f>+B7-G6</f>
        <v>46322</v>
      </c>
      <c r="H4" s="184"/>
      <c r="I4" s="184">
        <f>71540-22000</f>
        <v>49540</v>
      </c>
      <c r="K4" s="147">
        <f>+P4</f>
        <v>51938.04</v>
      </c>
      <c r="L4" s="636">
        <f>+L7-L6</f>
        <v>53618</v>
      </c>
      <c r="M4" s="636">
        <f>+I4*(1+0.02)</f>
        <v>50530.8</v>
      </c>
      <c r="N4" s="636">
        <f>+I4*(1+0.01)</f>
        <v>50035.4</v>
      </c>
      <c r="O4" s="636">
        <f>+I4</f>
        <v>49540</v>
      </c>
      <c r="P4" s="636">
        <f>+I4*(1+0.026)+1110</f>
        <v>51938.04</v>
      </c>
    </row>
    <row r="5" spans="1:18">
      <c r="A5" s="182"/>
      <c r="B5" s="185">
        <v>0.3</v>
      </c>
      <c r="C5" s="130"/>
      <c r="D5" s="130"/>
      <c r="E5" s="129">
        <v>0.3</v>
      </c>
      <c r="F5" s="186"/>
      <c r="G5" s="187"/>
      <c r="H5" s="187"/>
      <c r="I5" s="187"/>
      <c r="K5" s="148"/>
      <c r="L5" s="637"/>
      <c r="M5" s="637"/>
      <c r="N5" s="637"/>
      <c r="O5" s="637"/>
      <c r="P5" s="637"/>
    </row>
    <row r="6" spans="1:18" ht="15" thickBot="1">
      <c r="A6" s="182" t="s">
        <v>168</v>
      </c>
      <c r="B6" s="188">
        <f>ROUND(+B4*B5,0)</f>
        <v>15868</v>
      </c>
      <c r="C6" s="132">
        <v>22000</v>
      </c>
      <c r="D6" s="132">
        <f>+C6</f>
        <v>22000</v>
      </c>
      <c r="E6" s="131">
        <f>ROUND(+E4*E5,0)</f>
        <v>15868</v>
      </c>
      <c r="F6" s="135"/>
      <c r="G6" s="189">
        <v>22440</v>
      </c>
      <c r="H6" s="189"/>
      <c r="I6" s="189">
        <v>22000</v>
      </c>
      <c r="K6" s="702">
        <f>+P6</f>
        <v>22572</v>
      </c>
      <c r="L6" s="638">
        <v>22000</v>
      </c>
      <c r="M6" s="639">
        <f>+I6*(1+0.02)</f>
        <v>22440</v>
      </c>
      <c r="N6" s="639">
        <f>+I6*(1+0.01)</f>
        <v>22220</v>
      </c>
      <c r="O6" s="639">
        <f>+I6</f>
        <v>22000</v>
      </c>
      <c r="P6" s="639">
        <f>+I6*(1+0.026)</f>
        <v>22572</v>
      </c>
    </row>
    <row r="7" spans="1:18" ht="14.5" customHeight="1">
      <c r="A7" s="182" t="s">
        <v>170</v>
      </c>
      <c r="B7" s="190">
        <f>+B4+B6</f>
        <v>68762</v>
      </c>
      <c r="C7" s="191">
        <f>+C4+C6</f>
        <v>68762</v>
      </c>
      <c r="D7" s="191">
        <f>+D4+D6</f>
        <v>68762</v>
      </c>
      <c r="E7" s="191">
        <f>+E4+E6</f>
        <v>68762</v>
      </c>
      <c r="F7" s="192"/>
      <c r="G7" s="193">
        <f>+G4+G6</f>
        <v>68762</v>
      </c>
      <c r="H7" s="193"/>
      <c r="I7" s="193">
        <f>+I4+I6</f>
        <v>71540</v>
      </c>
      <c r="K7" s="150">
        <f>+K4+K6</f>
        <v>74510.040000000008</v>
      </c>
      <c r="L7" s="675">
        <v>75618</v>
      </c>
      <c r="M7" s="640">
        <f>+M4+M6</f>
        <v>72970.8</v>
      </c>
      <c r="N7" s="640">
        <f>+N4+N6</f>
        <v>72255.399999999994</v>
      </c>
      <c r="O7" s="640">
        <f>+O4+O6</f>
        <v>71540</v>
      </c>
      <c r="P7" s="640">
        <f>+P4+P6</f>
        <v>74510.040000000008</v>
      </c>
      <c r="Q7" s="151"/>
      <c r="R7" s="151"/>
    </row>
    <row r="8" spans="1:18">
      <c r="A8" s="194"/>
      <c r="B8" s="194"/>
      <c r="C8" s="195"/>
      <c r="D8" s="195"/>
      <c r="E8" s="195"/>
      <c r="F8" s="196"/>
      <c r="G8" s="187"/>
      <c r="H8" s="187"/>
      <c r="I8" s="187"/>
      <c r="K8" s="148"/>
      <c r="L8" s="637"/>
      <c r="M8" s="637"/>
      <c r="N8" s="637"/>
      <c r="O8" s="637"/>
      <c r="P8" s="637"/>
    </row>
    <row r="9" spans="1:18">
      <c r="A9" s="182" t="s">
        <v>184</v>
      </c>
      <c r="B9" s="194"/>
      <c r="C9" s="133">
        <f>(23/24)</f>
        <v>0.95833333333333337</v>
      </c>
      <c r="D9" s="133">
        <f>(23/24)</f>
        <v>0.95833333333333337</v>
      </c>
      <c r="E9" s="133">
        <v>1</v>
      </c>
      <c r="F9" s="134">
        <v>1</v>
      </c>
      <c r="G9" s="197">
        <v>1</v>
      </c>
      <c r="H9" s="197"/>
      <c r="I9" s="197">
        <v>1</v>
      </c>
      <c r="K9" s="141">
        <v>1</v>
      </c>
      <c r="L9" s="641">
        <v>1</v>
      </c>
      <c r="M9" s="641">
        <v>1</v>
      </c>
      <c r="N9" s="641">
        <v>1</v>
      </c>
      <c r="O9" s="641">
        <v>1</v>
      </c>
      <c r="P9" s="641">
        <v>1</v>
      </c>
    </row>
    <row r="10" spans="1:18">
      <c r="A10" s="194"/>
      <c r="B10" s="194"/>
      <c r="C10" s="195"/>
      <c r="D10" s="195"/>
      <c r="E10" s="195"/>
      <c r="F10" s="196"/>
      <c r="G10" s="187"/>
      <c r="H10" s="187"/>
      <c r="I10" s="187"/>
      <c r="K10" s="148"/>
      <c r="L10" s="637"/>
      <c r="M10" s="637"/>
      <c r="N10" s="637"/>
      <c r="O10" s="637"/>
      <c r="P10" s="637"/>
    </row>
    <row r="11" spans="1:18">
      <c r="A11" s="182" t="s">
        <v>200</v>
      </c>
      <c r="B11" s="194"/>
      <c r="C11" s="198">
        <v>0</v>
      </c>
      <c r="D11" s="198">
        <v>0</v>
      </c>
      <c r="E11" s="198">
        <v>0</v>
      </c>
      <c r="F11" s="199">
        <v>0</v>
      </c>
      <c r="G11" s="449">
        <v>0.02</v>
      </c>
      <c r="H11" s="200"/>
      <c r="I11" s="677">
        <f>+I12/G12-1</f>
        <v>2.0003707030525897E-2</v>
      </c>
      <c r="K11" s="485">
        <f>+K12/I12-1</f>
        <v>4.1515236231478791E-2</v>
      </c>
      <c r="L11" s="642">
        <f>+L12/O12-1</f>
        <v>5.7003075202683773E-2</v>
      </c>
      <c r="M11" s="642">
        <f>+M12/O12-1</f>
        <v>2.0002795638803361E-2</v>
      </c>
      <c r="N11" s="642">
        <f>+N12/O12-1</f>
        <v>9.9944087223931E-3</v>
      </c>
      <c r="O11" s="643">
        <v>0</v>
      </c>
      <c r="P11" s="642">
        <f>+P12/O12-1</f>
        <v>4.1515236231478791E-2</v>
      </c>
    </row>
    <row r="12" spans="1:18">
      <c r="A12" s="201" t="s">
        <v>198</v>
      </c>
      <c r="B12" s="202"/>
      <c r="C12" s="203">
        <f>+C7*C9</f>
        <v>65896.916666666672</v>
      </c>
      <c r="D12" s="203">
        <f>+D7*D9</f>
        <v>65896.916666666672</v>
      </c>
      <c r="E12" s="203">
        <f>+E7*E9</f>
        <v>68762</v>
      </c>
      <c r="F12" s="204">
        <f>+C7*F9</f>
        <v>68762</v>
      </c>
      <c r="G12" s="439">
        <f>ROUND(+G7*(1+G11),0)</f>
        <v>70137</v>
      </c>
      <c r="H12" s="205"/>
      <c r="I12" s="439">
        <f>ROUND(+I7*I9,0)</f>
        <v>71540</v>
      </c>
      <c r="K12" s="153">
        <f>ROUND(+K7*K9,0)</f>
        <v>74510</v>
      </c>
      <c r="L12" s="644">
        <f t="shared" ref="L12:P12" si="0">ROUND(+L7*L9,0)</f>
        <v>75618</v>
      </c>
      <c r="M12" s="644">
        <f t="shared" si="0"/>
        <v>72971</v>
      </c>
      <c r="N12" s="644">
        <f t="shared" si="0"/>
        <v>72255</v>
      </c>
      <c r="O12" s="644">
        <f>ROUND(+O7*O9,0)</f>
        <v>71540</v>
      </c>
      <c r="P12" s="644">
        <f t="shared" si="0"/>
        <v>74510</v>
      </c>
    </row>
    <row r="13" spans="1:18">
      <c r="A13" s="194"/>
      <c r="B13" s="194"/>
      <c r="C13" s="195"/>
      <c r="D13" s="195"/>
      <c r="E13" s="195"/>
      <c r="F13" s="196"/>
      <c r="G13" s="187"/>
      <c r="H13" s="187"/>
      <c r="I13" s="187"/>
      <c r="K13" s="148"/>
      <c r="L13" s="637"/>
      <c r="M13" s="637"/>
      <c r="N13" s="637"/>
      <c r="O13" s="637"/>
      <c r="P13" s="637"/>
    </row>
    <row r="14" spans="1:18">
      <c r="A14" s="805" t="s">
        <v>391</v>
      </c>
      <c r="B14" s="194"/>
      <c r="C14" s="195"/>
      <c r="D14" s="195"/>
      <c r="E14" s="195"/>
      <c r="F14" s="196"/>
      <c r="G14" s="187"/>
      <c r="H14" s="187"/>
      <c r="I14" s="187"/>
      <c r="K14" s="148"/>
      <c r="L14" s="637"/>
      <c r="M14" s="637"/>
      <c r="N14" s="637"/>
      <c r="O14" s="637"/>
      <c r="P14" s="637"/>
    </row>
    <row r="15" spans="1:18">
      <c r="A15" s="805"/>
      <c r="B15" s="194"/>
      <c r="C15" s="128">
        <f>+C34</f>
        <v>0</v>
      </c>
      <c r="D15" s="128">
        <f>+D34</f>
        <v>0</v>
      </c>
      <c r="E15" s="128">
        <f>+E34</f>
        <v>8015</v>
      </c>
      <c r="F15" s="138">
        <f>+F34</f>
        <v>0</v>
      </c>
      <c r="G15" s="206">
        <f>+G36</f>
        <v>2600</v>
      </c>
      <c r="H15" s="206"/>
      <c r="I15" s="206">
        <f>+I36</f>
        <v>3467</v>
      </c>
      <c r="K15" s="143">
        <f>+K36</f>
        <v>0</v>
      </c>
      <c r="L15" s="645">
        <f t="shared" ref="L15:P15" si="1">+L36</f>
        <v>3467</v>
      </c>
      <c r="M15" s="645">
        <f t="shared" si="1"/>
        <v>3467</v>
      </c>
      <c r="N15" s="645">
        <f t="shared" si="1"/>
        <v>3467</v>
      </c>
      <c r="O15" s="645">
        <f>+O36</f>
        <v>3467</v>
      </c>
      <c r="P15" s="645">
        <f t="shared" si="1"/>
        <v>3467</v>
      </c>
    </row>
    <row r="16" spans="1:18">
      <c r="A16" s="805"/>
      <c r="B16" s="194"/>
      <c r="C16" s="195"/>
      <c r="D16" s="195"/>
      <c r="E16" s="195"/>
      <c r="F16" s="196"/>
      <c r="G16" s="187"/>
      <c r="H16" s="187"/>
      <c r="I16" s="187"/>
      <c r="K16" s="148"/>
      <c r="L16" s="637"/>
      <c r="M16" s="637"/>
      <c r="N16" s="637"/>
      <c r="O16" s="637"/>
      <c r="P16" s="637"/>
    </row>
    <row r="17" spans="1:16">
      <c r="A17" s="207"/>
      <c r="B17" s="194"/>
      <c r="C17" s="195"/>
      <c r="D17" s="195"/>
      <c r="E17" s="195"/>
      <c r="F17" s="196"/>
      <c r="G17" s="187"/>
      <c r="H17" s="187"/>
      <c r="I17" s="187"/>
      <c r="K17" s="148"/>
      <c r="L17" s="637"/>
      <c r="M17" s="637"/>
      <c r="N17" s="637"/>
      <c r="O17" s="637"/>
      <c r="P17" s="637"/>
    </row>
    <row r="18" spans="1:16">
      <c r="A18" s="201" t="s">
        <v>198</v>
      </c>
      <c r="B18" s="202"/>
      <c r="C18" s="203">
        <f>+C12+C15</f>
        <v>65896.916666666672</v>
      </c>
      <c r="D18" s="203">
        <f>+D12+D15</f>
        <v>65896.916666666672</v>
      </c>
      <c r="E18" s="203">
        <f>+E12+E15</f>
        <v>76777</v>
      </c>
      <c r="F18" s="204">
        <f>+F12+F15</f>
        <v>68762</v>
      </c>
      <c r="G18" s="439">
        <f>+G12+G15</f>
        <v>72737</v>
      </c>
      <c r="H18" s="205">
        <f>50297+22440</f>
        <v>72737</v>
      </c>
      <c r="I18" s="439">
        <f>+I12+I15</f>
        <v>75007</v>
      </c>
      <c r="K18" s="153">
        <f>+K12+K15</f>
        <v>74510</v>
      </c>
      <c r="L18" s="644">
        <f t="shared" ref="L18:P18" si="2">+L12+L15</f>
        <v>79085</v>
      </c>
      <c r="M18" s="644">
        <f t="shared" si="2"/>
        <v>76438</v>
      </c>
      <c r="N18" s="644">
        <f t="shared" si="2"/>
        <v>75722</v>
      </c>
      <c r="O18" s="644">
        <f>+O12+O15</f>
        <v>75007</v>
      </c>
      <c r="P18" s="644">
        <f t="shared" si="2"/>
        <v>77977</v>
      </c>
    </row>
    <row r="19" spans="1:16">
      <c r="A19" s="194"/>
      <c r="B19" s="194"/>
      <c r="C19" s="195"/>
      <c r="D19" s="195"/>
      <c r="E19" s="195"/>
      <c r="F19" s="196"/>
      <c r="G19" s="187"/>
      <c r="H19" s="187"/>
      <c r="I19" s="187"/>
      <c r="K19" s="148"/>
      <c r="L19" s="637"/>
      <c r="M19" s="637"/>
      <c r="N19" s="637"/>
      <c r="O19" s="637"/>
      <c r="P19" s="637"/>
    </row>
    <row r="20" spans="1:16">
      <c r="A20" s="194" t="s">
        <v>359</v>
      </c>
      <c r="B20" s="194"/>
      <c r="C20" s="136">
        <v>7.6499999999999999E-2</v>
      </c>
      <c r="D20" s="136">
        <v>7.6499999999999999E-2</v>
      </c>
      <c r="E20" s="136">
        <v>7.6499999999999999E-2</v>
      </c>
      <c r="F20" s="137">
        <v>7.6499999999999999E-2</v>
      </c>
      <c r="G20" s="208">
        <v>7.6499999999999999E-2</v>
      </c>
      <c r="H20" s="208">
        <v>7.6499999999999999E-2</v>
      </c>
      <c r="I20" s="208">
        <v>7.6499999999999999E-2</v>
      </c>
      <c r="K20" s="142">
        <v>7.6499999999999999E-2</v>
      </c>
      <c r="L20" s="646">
        <v>7.6499999999999999E-2</v>
      </c>
      <c r="M20" s="646">
        <v>7.6499999999999999E-2</v>
      </c>
      <c r="N20" s="646">
        <v>7.6499999999999999E-2</v>
      </c>
      <c r="O20" s="646">
        <v>7.6499999999999999E-2</v>
      </c>
      <c r="P20" s="646">
        <v>7.6499999999999999E-2</v>
      </c>
    </row>
    <row r="21" spans="1:16">
      <c r="A21" s="194" t="s">
        <v>360</v>
      </c>
      <c r="B21" s="194"/>
      <c r="C21" s="195"/>
      <c r="D21" s="195"/>
      <c r="E21" s="195"/>
      <c r="F21" s="196"/>
      <c r="G21" s="187"/>
      <c r="H21" s="187"/>
      <c r="I21" s="187"/>
      <c r="K21" s="148"/>
      <c r="L21" s="637"/>
      <c r="M21" s="637"/>
      <c r="N21" s="637"/>
      <c r="O21" s="637"/>
      <c r="P21" s="637"/>
    </row>
    <row r="22" spans="1:16">
      <c r="A22" s="194"/>
      <c r="B22" s="194"/>
      <c r="C22" s="195"/>
      <c r="D22" s="195"/>
      <c r="E22" s="195"/>
      <c r="F22" s="196"/>
      <c r="G22" s="187"/>
      <c r="H22" s="187"/>
      <c r="I22" s="187"/>
      <c r="K22" s="148"/>
      <c r="L22" s="637"/>
      <c r="M22" s="637"/>
      <c r="N22" s="637"/>
      <c r="O22" s="637"/>
      <c r="P22" s="637"/>
    </row>
    <row r="23" spans="1:16">
      <c r="A23" s="194" t="s">
        <v>361</v>
      </c>
      <c r="B23" s="194"/>
      <c r="C23" s="128">
        <f t="shared" ref="C23:H23" si="3">+C18*C20</f>
        <v>5041.1141250000001</v>
      </c>
      <c r="D23" s="128">
        <f t="shared" si="3"/>
        <v>5041.1141250000001</v>
      </c>
      <c r="E23" s="128">
        <f t="shared" si="3"/>
        <v>5873.4404999999997</v>
      </c>
      <c r="F23" s="138">
        <f t="shared" si="3"/>
        <v>5260.2929999999997</v>
      </c>
      <c r="G23" s="206">
        <f t="shared" si="3"/>
        <v>5564.3805000000002</v>
      </c>
      <c r="H23" s="206">
        <f t="shared" si="3"/>
        <v>5564.3805000000002</v>
      </c>
      <c r="I23" s="206">
        <f>ROUND(+I18*I20,0)</f>
        <v>5738</v>
      </c>
      <c r="J23" s="151"/>
      <c r="K23" s="143">
        <f>ROUND(+K18*K20,0)</f>
        <v>5700</v>
      </c>
      <c r="L23" s="645">
        <f t="shared" ref="L23:P23" si="4">ROUND(+L18*L20,0)</f>
        <v>6050</v>
      </c>
      <c r="M23" s="645">
        <f t="shared" si="4"/>
        <v>5848</v>
      </c>
      <c r="N23" s="645">
        <f t="shared" si="4"/>
        <v>5793</v>
      </c>
      <c r="O23" s="645">
        <f>ROUND(+O18*O20,0)</f>
        <v>5738</v>
      </c>
      <c r="P23" s="645">
        <f t="shared" si="4"/>
        <v>5965</v>
      </c>
    </row>
    <row r="24" spans="1:16">
      <c r="A24" s="194"/>
      <c r="B24" s="194"/>
      <c r="C24" s="195"/>
      <c r="D24" s="195"/>
      <c r="E24" s="195"/>
      <c r="F24" s="196"/>
      <c r="G24" s="187"/>
      <c r="H24" s="187"/>
      <c r="I24" s="187"/>
      <c r="K24" s="148"/>
      <c r="L24" s="637"/>
      <c r="M24" s="637"/>
      <c r="N24" s="637"/>
      <c r="O24" s="637"/>
      <c r="P24" s="637"/>
    </row>
    <row r="25" spans="1:16">
      <c r="A25" s="209" t="s">
        <v>201</v>
      </c>
      <c r="B25" s="210"/>
      <c r="C25" s="211">
        <f t="shared" ref="C25:H25" si="5">+C18+C23</f>
        <v>70938.030791666679</v>
      </c>
      <c r="D25" s="211">
        <f t="shared" si="5"/>
        <v>70938.030791666679</v>
      </c>
      <c r="E25" s="211">
        <f t="shared" si="5"/>
        <v>82650.440499999997</v>
      </c>
      <c r="F25" s="212">
        <f t="shared" si="5"/>
        <v>74022.293000000005</v>
      </c>
      <c r="G25" s="213">
        <f t="shared" si="5"/>
        <v>78301.380499999999</v>
      </c>
      <c r="H25" s="213">
        <f t="shared" si="5"/>
        <v>78301.380499999999</v>
      </c>
      <c r="I25" s="213">
        <f t="shared" ref="I25:P25" si="6">+I18+I23</f>
        <v>80745</v>
      </c>
      <c r="K25" s="155">
        <f t="shared" ref="K25" si="7">+K18+K23</f>
        <v>80210</v>
      </c>
      <c r="L25" s="647">
        <f t="shared" si="6"/>
        <v>85135</v>
      </c>
      <c r="M25" s="647">
        <f t="shared" si="6"/>
        <v>82286</v>
      </c>
      <c r="N25" s="647">
        <f t="shared" si="6"/>
        <v>81515</v>
      </c>
      <c r="O25" s="647">
        <f t="shared" ref="O25" si="8">+O18+O23</f>
        <v>80745</v>
      </c>
      <c r="P25" s="647">
        <f t="shared" si="6"/>
        <v>83942</v>
      </c>
    </row>
    <row r="26" spans="1:16">
      <c r="A26" s="214"/>
      <c r="B26" s="214"/>
      <c r="C26" s="214"/>
      <c r="D26" s="214"/>
      <c r="E26" s="214"/>
      <c r="F26" s="214"/>
      <c r="G26" s="214"/>
      <c r="H26" s="214"/>
      <c r="I26" s="214"/>
      <c r="K26" s="214"/>
      <c r="L26" s="214"/>
      <c r="M26" s="214"/>
      <c r="N26" s="214"/>
      <c r="O26" s="214"/>
      <c r="P26" s="214"/>
    </row>
    <row r="27" spans="1:16">
      <c r="A27" s="215" t="s">
        <v>207</v>
      </c>
      <c r="B27" s="177"/>
      <c r="C27" s="216"/>
      <c r="D27" s="216"/>
      <c r="E27" s="216"/>
      <c r="F27" s="217"/>
      <c r="G27" s="181"/>
      <c r="H27" s="217"/>
      <c r="I27" s="181"/>
      <c r="K27" s="146"/>
      <c r="L27" s="635"/>
      <c r="M27" s="648"/>
      <c r="N27" s="648"/>
      <c r="O27" s="648"/>
      <c r="P27" s="648"/>
    </row>
    <row r="28" spans="1:16">
      <c r="A28" s="194" t="s">
        <v>202</v>
      </c>
      <c r="B28" s="194"/>
      <c r="C28" s="128">
        <f>6011.15*C9</f>
        <v>5760.6854166666662</v>
      </c>
      <c r="D28" s="128"/>
      <c r="E28" s="128">
        <f>6011.15*E9</f>
        <v>6011.15</v>
      </c>
      <c r="F28" s="138">
        <f>6011.15</f>
        <v>6011.15</v>
      </c>
      <c r="G28" s="445">
        <v>4973</v>
      </c>
      <c r="H28" s="135"/>
      <c r="I28" s="445">
        <v>5121</v>
      </c>
      <c r="J28" s="611"/>
      <c r="K28" s="684">
        <v>5121</v>
      </c>
      <c r="L28" s="649">
        <v>5121</v>
      </c>
      <c r="M28" s="650">
        <v>5121</v>
      </c>
      <c r="N28" s="650">
        <v>5121</v>
      </c>
      <c r="O28" s="650">
        <v>5121</v>
      </c>
      <c r="P28" s="650">
        <v>5121</v>
      </c>
    </row>
    <row r="29" spans="1:16">
      <c r="A29" s="194" t="s">
        <v>229</v>
      </c>
      <c r="B29" s="194"/>
      <c r="C29" s="127">
        <v>0</v>
      </c>
      <c r="D29" s="127">
        <v>0</v>
      </c>
      <c r="E29" s="127">
        <v>0</v>
      </c>
      <c r="F29" s="135">
        <v>0</v>
      </c>
      <c r="G29" s="445">
        <v>2600</v>
      </c>
      <c r="H29" s="135"/>
      <c r="I29" s="445">
        <v>2600</v>
      </c>
      <c r="J29" s="151"/>
      <c r="K29" s="684">
        <v>2600</v>
      </c>
      <c r="L29" s="649">
        <v>2600</v>
      </c>
      <c r="M29" s="650">
        <v>2600</v>
      </c>
      <c r="N29" s="650">
        <v>2600</v>
      </c>
      <c r="O29" s="650">
        <v>2600</v>
      </c>
      <c r="P29" s="650">
        <v>2600</v>
      </c>
    </row>
    <row r="30" spans="1:16" ht="14.5" customHeight="1">
      <c r="A30" s="194" t="s">
        <v>230</v>
      </c>
      <c r="B30" s="194"/>
      <c r="C30" s="128">
        <f>+C28+C29</f>
        <v>5760.6854166666662</v>
      </c>
      <c r="D30" s="128">
        <f>+D28+D29</f>
        <v>0</v>
      </c>
      <c r="E30" s="128">
        <f>+E28+E29</f>
        <v>6011.15</v>
      </c>
      <c r="F30" s="138">
        <f>+F28+F29</f>
        <v>6011.15</v>
      </c>
      <c r="G30" s="206">
        <f>+G28+G29</f>
        <v>7573</v>
      </c>
      <c r="H30" s="135"/>
      <c r="I30" s="206">
        <f>+I28+I29</f>
        <v>7721</v>
      </c>
      <c r="J30" s="809" t="s">
        <v>387</v>
      </c>
      <c r="K30" s="143">
        <f>+K28+K29</f>
        <v>7721</v>
      </c>
      <c r="L30" s="645">
        <f t="shared" ref="L30:P30" si="9">+L28+L29</f>
        <v>7721</v>
      </c>
      <c r="M30" s="651">
        <f t="shared" si="9"/>
        <v>7721</v>
      </c>
      <c r="N30" s="651">
        <f t="shared" si="9"/>
        <v>7721</v>
      </c>
      <c r="O30" s="651">
        <f>+O28+O29</f>
        <v>7721</v>
      </c>
      <c r="P30" s="651">
        <f t="shared" si="9"/>
        <v>7721</v>
      </c>
    </row>
    <row r="31" spans="1:16">
      <c r="A31" s="194" t="s">
        <v>203</v>
      </c>
      <c r="B31" s="194"/>
      <c r="C31" s="136">
        <v>0.25</v>
      </c>
      <c r="D31" s="136"/>
      <c r="E31" s="136">
        <v>0.25</v>
      </c>
      <c r="F31" s="137">
        <v>0.25</v>
      </c>
      <c r="G31" s="487">
        <v>0.25</v>
      </c>
      <c r="H31" s="137"/>
      <c r="I31" s="487"/>
      <c r="J31" s="809"/>
      <c r="K31" s="685"/>
      <c r="L31" s="652"/>
      <c r="M31" s="653"/>
      <c r="N31" s="653"/>
      <c r="O31" s="653"/>
      <c r="P31" s="653"/>
    </row>
    <row r="32" spans="1:16">
      <c r="A32" s="202" t="s">
        <v>205</v>
      </c>
      <c r="B32" s="202"/>
      <c r="C32" s="218">
        <f>+C30/(1-C31)</f>
        <v>7680.9138888888883</v>
      </c>
      <c r="D32" s="219">
        <v>8015</v>
      </c>
      <c r="E32" s="218">
        <f>ROUND(+E30/(1-E31),0)</f>
        <v>8015</v>
      </c>
      <c r="F32" s="220">
        <f>+F30/(1-F31)</f>
        <v>8014.8666666666659</v>
      </c>
      <c r="G32" s="446">
        <f>ROUND(+G30/(1-G31),0)</f>
        <v>10097</v>
      </c>
      <c r="H32" s="220"/>
      <c r="I32" s="446">
        <f>+I30</f>
        <v>7721</v>
      </c>
      <c r="J32" s="809"/>
      <c r="K32" s="686">
        <f>+K30</f>
        <v>7721</v>
      </c>
      <c r="L32" s="654">
        <f t="shared" ref="L32:P32" si="10">+L30</f>
        <v>7721</v>
      </c>
      <c r="M32" s="655">
        <f t="shared" si="10"/>
        <v>7721</v>
      </c>
      <c r="N32" s="655">
        <f t="shared" si="10"/>
        <v>7721</v>
      </c>
      <c r="O32" s="655">
        <f>+O30</f>
        <v>7721</v>
      </c>
      <c r="P32" s="655">
        <f t="shared" si="10"/>
        <v>7721</v>
      </c>
    </row>
    <row r="33" spans="1:16">
      <c r="A33" s="194"/>
      <c r="B33" s="194"/>
      <c r="C33" s="128"/>
      <c r="D33" s="128"/>
      <c r="E33" s="128"/>
      <c r="F33" s="196"/>
      <c r="G33" s="187"/>
      <c r="H33" s="196"/>
      <c r="I33" s="187"/>
      <c r="J33" s="809"/>
      <c r="K33" s="148"/>
      <c r="L33" s="637"/>
      <c r="M33" s="656"/>
      <c r="N33" s="656"/>
      <c r="O33" s="656"/>
      <c r="P33" s="656"/>
    </row>
    <row r="34" spans="1:16">
      <c r="A34" s="194" t="s">
        <v>388</v>
      </c>
      <c r="B34" s="194"/>
      <c r="C34" s="127">
        <v>0</v>
      </c>
      <c r="D34" s="127">
        <v>0</v>
      </c>
      <c r="E34" s="127">
        <v>8015</v>
      </c>
      <c r="F34" s="135">
        <v>0</v>
      </c>
      <c r="G34" s="445"/>
      <c r="H34" s="135"/>
      <c r="I34" s="445">
        <v>2600</v>
      </c>
      <c r="J34" s="809"/>
      <c r="K34" s="684">
        <v>0</v>
      </c>
      <c r="L34" s="649">
        <v>2600</v>
      </c>
      <c r="M34" s="650">
        <v>2600</v>
      </c>
      <c r="N34" s="650">
        <v>2600</v>
      </c>
      <c r="O34" s="650">
        <v>2600</v>
      </c>
      <c r="P34" s="650">
        <v>2600</v>
      </c>
    </row>
    <row r="35" spans="1:16">
      <c r="A35" s="194" t="s">
        <v>203</v>
      </c>
      <c r="B35" s="194"/>
      <c r="C35" s="136">
        <v>0.25</v>
      </c>
      <c r="D35" s="136"/>
      <c r="E35" s="136">
        <v>0.25</v>
      </c>
      <c r="F35" s="137">
        <v>0.25</v>
      </c>
      <c r="G35" s="208"/>
      <c r="H35" s="137"/>
      <c r="I35" s="487">
        <v>0.25</v>
      </c>
      <c r="J35" s="809"/>
      <c r="K35" s="685">
        <v>0.25</v>
      </c>
      <c r="L35" s="652">
        <v>0.25</v>
      </c>
      <c r="M35" s="653">
        <v>0.25</v>
      </c>
      <c r="N35" s="653">
        <v>0.25</v>
      </c>
      <c r="O35" s="653">
        <v>0.25</v>
      </c>
      <c r="P35" s="653">
        <v>0.25</v>
      </c>
    </row>
    <row r="36" spans="1:16">
      <c r="A36" s="202" t="s">
        <v>444</v>
      </c>
      <c r="B36" s="202"/>
      <c r="C36" s="489"/>
      <c r="D36" s="489"/>
      <c r="E36" s="489"/>
      <c r="F36" s="490"/>
      <c r="G36" s="491">
        <v>2600</v>
      </c>
      <c r="H36" s="490"/>
      <c r="I36" s="446">
        <f>ROUND(+I34/(1-I35),0)</f>
        <v>3467</v>
      </c>
      <c r="J36" s="488"/>
      <c r="K36" s="686">
        <f>ROUND(+K34/(1-K35),0)</f>
        <v>0</v>
      </c>
      <c r="L36" s="654">
        <f t="shared" ref="L36:P36" si="11">ROUND(+L34/(1-L35),0)</f>
        <v>3467</v>
      </c>
      <c r="M36" s="655">
        <f t="shared" si="11"/>
        <v>3467</v>
      </c>
      <c r="N36" s="655">
        <f t="shared" si="11"/>
        <v>3467</v>
      </c>
      <c r="O36" s="655">
        <f>ROUND(+O34/(1-O35),0)</f>
        <v>3467</v>
      </c>
      <c r="P36" s="655">
        <f t="shared" si="11"/>
        <v>3467</v>
      </c>
    </row>
    <row r="37" spans="1:16">
      <c r="A37" s="209" t="s">
        <v>206</v>
      </c>
      <c r="B37" s="209"/>
      <c r="C37" s="211">
        <f>+C32-C34</f>
        <v>7680.9138888888883</v>
      </c>
      <c r="D37" s="211">
        <f>+D32-D34</f>
        <v>8015</v>
      </c>
      <c r="E37" s="211">
        <f>+E32-E34</f>
        <v>0</v>
      </c>
      <c r="F37" s="212">
        <f>+F32-F34</f>
        <v>8014.8666666666659</v>
      </c>
      <c r="G37" s="213">
        <f>+G32-G36</f>
        <v>7497</v>
      </c>
      <c r="H37" s="212"/>
      <c r="I37" s="213">
        <f>+I30-I34</f>
        <v>5121</v>
      </c>
      <c r="K37" s="155">
        <f>+K30-K34</f>
        <v>7721</v>
      </c>
      <c r="L37" s="647">
        <f t="shared" ref="L37:P37" si="12">+L30-L34</f>
        <v>5121</v>
      </c>
      <c r="M37" s="657">
        <f t="shared" si="12"/>
        <v>5121</v>
      </c>
      <c r="N37" s="657">
        <f t="shared" si="12"/>
        <v>5121</v>
      </c>
      <c r="O37" s="657">
        <f>+O30-O34</f>
        <v>5121</v>
      </c>
      <c r="P37" s="657">
        <f t="shared" si="12"/>
        <v>5121</v>
      </c>
    </row>
    <row r="38" spans="1:16">
      <c r="A38" s="214"/>
      <c r="B38" s="214"/>
      <c r="C38" s="214"/>
      <c r="D38" s="214"/>
      <c r="E38" s="214"/>
      <c r="F38" s="214"/>
      <c r="G38" s="214"/>
      <c r="H38" s="214"/>
      <c r="I38" s="214"/>
      <c r="K38" s="214"/>
      <c r="L38" s="214"/>
      <c r="M38" s="214"/>
      <c r="N38" s="214"/>
      <c r="O38" s="214"/>
      <c r="P38" s="214"/>
    </row>
    <row r="39" spans="1:16">
      <c r="A39" s="215" t="s">
        <v>381</v>
      </c>
      <c r="B39" s="177"/>
      <c r="C39" s="221">
        <v>0.11</v>
      </c>
      <c r="D39" s="221">
        <v>0.11</v>
      </c>
      <c r="E39" s="221">
        <v>0.11</v>
      </c>
      <c r="F39" s="221">
        <v>0.11</v>
      </c>
      <c r="G39" s="447">
        <v>0.11</v>
      </c>
      <c r="H39" s="221"/>
      <c r="I39" s="447">
        <v>0.11</v>
      </c>
      <c r="K39" s="680">
        <v>0.11</v>
      </c>
      <c r="L39" s="663">
        <v>0.11</v>
      </c>
      <c r="M39" s="658">
        <v>0.11</v>
      </c>
      <c r="N39" s="658">
        <v>0.11</v>
      </c>
      <c r="O39" s="658">
        <v>0.11</v>
      </c>
      <c r="P39" s="658">
        <v>0.11</v>
      </c>
    </row>
    <row r="40" spans="1:16">
      <c r="A40" s="194" t="s">
        <v>211</v>
      </c>
      <c r="B40" s="194"/>
      <c r="C40" s="162">
        <f>+C25</f>
        <v>70938.030791666679</v>
      </c>
      <c r="D40" s="162">
        <f>+D25</f>
        <v>70938.030791666679</v>
      </c>
      <c r="E40" s="162">
        <f>+E25</f>
        <v>82650.440499999997</v>
      </c>
      <c r="F40" s="162">
        <f>+F25</f>
        <v>74022.293000000005</v>
      </c>
      <c r="G40" s="184">
        <f>+G25</f>
        <v>78301.380499999999</v>
      </c>
      <c r="H40" s="162"/>
      <c r="I40" s="184">
        <f>+I25</f>
        <v>80745</v>
      </c>
      <c r="K40" s="147">
        <f>+K25</f>
        <v>80210</v>
      </c>
      <c r="L40" s="636">
        <f t="shared" ref="L40:P40" si="13">+L25</f>
        <v>85135</v>
      </c>
      <c r="M40" s="659">
        <f t="shared" si="13"/>
        <v>82286</v>
      </c>
      <c r="N40" s="659">
        <f t="shared" si="13"/>
        <v>81515</v>
      </c>
      <c r="O40" s="659">
        <f>+O25</f>
        <v>80745</v>
      </c>
      <c r="P40" s="659">
        <f t="shared" si="13"/>
        <v>83942</v>
      </c>
    </row>
    <row r="41" spans="1:16">
      <c r="A41" s="194" t="s">
        <v>173</v>
      </c>
      <c r="B41" s="194"/>
      <c r="C41" s="162">
        <f>+C40*C39</f>
        <v>7803.1833870833343</v>
      </c>
      <c r="D41" s="223">
        <f>((+D40+D42)+(D20*D32))*D39</f>
        <v>8752.2796120833355</v>
      </c>
      <c r="E41" s="162">
        <f>+E40*E39</f>
        <v>9091.5484550000001</v>
      </c>
      <c r="F41" s="162">
        <f>+F40*F39</f>
        <v>8142.4522300000008</v>
      </c>
      <c r="G41" s="184">
        <f>ROUND(+G40*G39,0)</f>
        <v>8613</v>
      </c>
      <c r="H41" s="232">
        <v>8613</v>
      </c>
      <c r="I41" s="184">
        <f>ROUND(+I40*I39,0)</f>
        <v>8882</v>
      </c>
      <c r="K41" s="147">
        <f>ROUND(+K40*K39,0)</f>
        <v>8823</v>
      </c>
      <c r="L41" s="636">
        <f t="shared" ref="L41:P41" si="14">ROUND(+L40*L39,0)</f>
        <v>9365</v>
      </c>
      <c r="M41" s="659">
        <f t="shared" si="14"/>
        <v>9051</v>
      </c>
      <c r="N41" s="659">
        <f t="shared" si="14"/>
        <v>8967</v>
      </c>
      <c r="O41" s="659">
        <f>ROUND(+O40*O39,0)</f>
        <v>8882</v>
      </c>
      <c r="P41" s="659">
        <f t="shared" si="14"/>
        <v>9234</v>
      </c>
    </row>
    <row r="42" spans="1:16">
      <c r="A42" s="194" t="s">
        <v>208</v>
      </c>
      <c r="B42" s="194"/>
      <c r="C42" s="162">
        <f>+C37</f>
        <v>7680.9138888888883</v>
      </c>
      <c r="D42" s="162">
        <f>+D37</f>
        <v>8015</v>
      </c>
      <c r="E42" s="162">
        <f>+E37</f>
        <v>0</v>
      </c>
      <c r="F42" s="162">
        <f>+F37</f>
        <v>8014.8666666666659</v>
      </c>
      <c r="G42" s="184">
        <f>+G37</f>
        <v>7497</v>
      </c>
      <c r="H42" s="232">
        <v>5090</v>
      </c>
      <c r="I42" s="184">
        <f>+I37</f>
        <v>5121</v>
      </c>
      <c r="K42" s="147">
        <f>+K37</f>
        <v>7721</v>
      </c>
      <c r="L42" s="636">
        <f t="shared" ref="L42:P42" si="15">+L37</f>
        <v>5121</v>
      </c>
      <c r="M42" s="659">
        <f t="shared" si="15"/>
        <v>5121</v>
      </c>
      <c r="N42" s="659">
        <f t="shared" si="15"/>
        <v>5121</v>
      </c>
      <c r="O42" s="659">
        <f>+O37</f>
        <v>5121</v>
      </c>
      <c r="P42" s="659">
        <f t="shared" si="15"/>
        <v>5121</v>
      </c>
    </row>
    <row r="43" spans="1:16">
      <c r="A43" s="496" t="s">
        <v>390</v>
      </c>
      <c r="B43" s="496"/>
      <c r="C43" s="497">
        <f t="shared" ref="C43:H43" si="16">+C41+C42</f>
        <v>15484.097275972223</v>
      </c>
      <c r="D43" s="497">
        <f t="shared" si="16"/>
        <v>16767.279612083337</v>
      </c>
      <c r="E43" s="497">
        <f t="shared" si="16"/>
        <v>9091.5484550000001</v>
      </c>
      <c r="F43" s="497">
        <f t="shared" si="16"/>
        <v>16157.318896666668</v>
      </c>
      <c r="G43" s="498">
        <f t="shared" si="16"/>
        <v>16110</v>
      </c>
      <c r="H43" s="701">
        <f t="shared" si="16"/>
        <v>13703</v>
      </c>
      <c r="I43" s="498">
        <f t="shared" ref="I43:P43" si="17">+I41+I42</f>
        <v>14003</v>
      </c>
      <c r="K43" s="681">
        <f t="shared" ref="K43" si="18">+K41+K42</f>
        <v>16544</v>
      </c>
      <c r="L43" s="664">
        <f t="shared" si="17"/>
        <v>14486</v>
      </c>
      <c r="M43" s="660">
        <f t="shared" si="17"/>
        <v>14172</v>
      </c>
      <c r="N43" s="660">
        <f t="shared" si="17"/>
        <v>14088</v>
      </c>
      <c r="O43" s="660">
        <f t="shared" ref="O43" si="19">+O41+O42</f>
        <v>14003</v>
      </c>
      <c r="P43" s="660">
        <f t="shared" si="17"/>
        <v>14355</v>
      </c>
    </row>
    <row r="44" spans="1:16">
      <c r="A44" s="194" t="s">
        <v>214</v>
      </c>
      <c r="B44" s="194"/>
      <c r="C44" s="492">
        <f>+C43/C40</f>
        <v>0.21827639001491975</v>
      </c>
      <c r="D44" s="492">
        <f>+D43/D40</f>
        <v>0.23636516865440033</v>
      </c>
      <c r="E44" s="492">
        <f>+E43/E40</f>
        <v>0.11</v>
      </c>
      <c r="F44" s="492">
        <f>+F43/F40</f>
        <v>0.21827639001491977</v>
      </c>
      <c r="G44" s="493">
        <f>+G43/G40</f>
        <v>0.20574349899233257</v>
      </c>
      <c r="H44" s="492"/>
      <c r="I44" s="493">
        <f>+I43/I40</f>
        <v>0.17342250294135861</v>
      </c>
      <c r="K44" s="682">
        <f>+K43/K40</f>
        <v>0.20625857125046751</v>
      </c>
      <c r="L44" s="665">
        <f t="shared" ref="L44:P44" si="20">+L43/L40</f>
        <v>0.17015328595759677</v>
      </c>
      <c r="M44" s="661">
        <f t="shared" si="20"/>
        <v>0.1722285686508033</v>
      </c>
      <c r="N44" s="661">
        <f t="shared" si="20"/>
        <v>0.17282708703919525</v>
      </c>
      <c r="O44" s="661">
        <f>+O43/O40</f>
        <v>0.17342250294135861</v>
      </c>
      <c r="P44" s="661">
        <f t="shared" si="20"/>
        <v>0.17101093612256082</v>
      </c>
    </row>
    <row r="45" spans="1:16">
      <c r="A45" s="194" t="s">
        <v>389</v>
      </c>
      <c r="B45" s="194"/>
      <c r="C45" s="492">
        <f>+C44/C41</f>
        <v>2.7972736149740405E-5</v>
      </c>
      <c r="D45" s="492">
        <f>+D44/D41</f>
        <v>2.7006126304291768E-5</v>
      </c>
      <c r="E45" s="492">
        <f>+E44/E41</f>
        <v>1.2099149066241214E-5</v>
      </c>
      <c r="F45" s="492">
        <f>+F44/F41</f>
        <v>2.6807205476834558E-5</v>
      </c>
      <c r="G45" s="493"/>
      <c r="H45" s="492"/>
      <c r="I45" s="678">
        <v>0.17499999999999999</v>
      </c>
      <c r="K45" s="683">
        <v>0.20499999999999999</v>
      </c>
      <c r="L45" s="643">
        <v>0.17499999999999999</v>
      </c>
      <c r="M45" s="662">
        <v>0.17499999999999999</v>
      </c>
      <c r="N45" s="662">
        <v>0.17499999999999999</v>
      </c>
      <c r="O45" s="662">
        <v>0.17499999999999999</v>
      </c>
      <c r="P45" s="662">
        <v>0.17499999999999999</v>
      </c>
    </row>
    <row r="46" spans="1:16">
      <c r="A46" s="209" t="s">
        <v>209</v>
      </c>
      <c r="B46" s="494"/>
      <c r="C46" s="495"/>
      <c r="D46" s="495"/>
      <c r="E46" s="495"/>
      <c r="F46" s="495"/>
      <c r="G46" s="213">
        <f>+G43</f>
        <v>16110</v>
      </c>
      <c r="H46" s="495"/>
      <c r="I46" s="213">
        <f>ROUND(+I25*I45,0)</f>
        <v>14130</v>
      </c>
      <c r="K46" s="155">
        <f>ROUND(+K25*K45,0)</f>
        <v>16443</v>
      </c>
      <c r="L46" s="647">
        <f t="shared" ref="L46:P46" si="21">ROUND(+L25*L45,0)</f>
        <v>14899</v>
      </c>
      <c r="M46" s="657">
        <f t="shared" si="21"/>
        <v>14400</v>
      </c>
      <c r="N46" s="657">
        <f t="shared" si="21"/>
        <v>14265</v>
      </c>
      <c r="O46" s="657">
        <f>ROUND(+O25*O45,0)</f>
        <v>14130</v>
      </c>
      <c r="P46" s="657">
        <f t="shared" si="21"/>
        <v>14690</v>
      </c>
    </row>
    <row r="47" spans="1:16">
      <c r="A47" s="214"/>
      <c r="B47" s="214"/>
      <c r="C47" s="214"/>
      <c r="D47" s="214"/>
      <c r="E47" s="214"/>
      <c r="F47" s="214"/>
      <c r="G47" s="214"/>
      <c r="H47" s="214"/>
      <c r="I47" s="214"/>
      <c r="K47" s="214"/>
      <c r="L47" s="214"/>
      <c r="M47" s="214"/>
      <c r="N47" s="214"/>
      <c r="O47" s="214"/>
      <c r="P47" s="214"/>
    </row>
    <row r="48" spans="1:16">
      <c r="A48" s="215" t="s">
        <v>213</v>
      </c>
      <c r="B48" s="177"/>
      <c r="C48" s="216"/>
      <c r="D48" s="216"/>
      <c r="E48" s="216"/>
      <c r="F48" s="217"/>
      <c r="G48" s="181"/>
      <c r="H48" s="217"/>
      <c r="I48" s="181"/>
      <c r="K48" s="146"/>
      <c r="L48" s="635"/>
      <c r="M48" s="648"/>
      <c r="N48" s="648"/>
      <c r="O48" s="648"/>
      <c r="P48" s="648"/>
    </row>
    <row r="49" spans="1:17">
      <c r="A49" s="194" t="s">
        <v>176</v>
      </c>
      <c r="B49" s="194"/>
      <c r="C49" s="227">
        <v>0.03</v>
      </c>
      <c r="D49" s="227">
        <v>0.03</v>
      </c>
      <c r="E49" s="227">
        <v>0.03</v>
      </c>
      <c r="F49" s="228">
        <v>0.03</v>
      </c>
      <c r="G49" s="449">
        <v>2.5000000000000001E-2</v>
      </c>
      <c r="H49" s="228">
        <v>2.5000000000000001E-2</v>
      </c>
      <c r="I49" s="449">
        <v>1.4999999999999999E-2</v>
      </c>
      <c r="K49" s="454">
        <v>1.4999999999999999E-2</v>
      </c>
      <c r="L49" s="669">
        <v>1.4999999999999999E-2</v>
      </c>
      <c r="M49" s="666">
        <v>1.4999999999999999E-2</v>
      </c>
      <c r="N49" s="666">
        <v>1.4999999999999999E-2</v>
      </c>
      <c r="O49" s="666">
        <v>1.4999999999999999E-2</v>
      </c>
      <c r="P49" s="666">
        <v>1.4999999999999999E-2</v>
      </c>
    </row>
    <row r="50" spans="1:17">
      <c r="A50" s="194" t="s">
        <v>177</v>
      </c>
      <c r="B50" s="194"/>
      <c r="C50" s="227">
        <v>3.0000000000000001E-3</v>
      </c>
      <c r="D50" s="227">
        <v>3.0000000000000001E-3</v>
      </c>
      <c r="E50" s="227">
        <v>3.0000000000000001E-3</v>
      </c>
      <c r="F50" s="228">
        <v>3.0000000000000001E-3</v>
      </c>
      <c r="G50" s="449">
        <v>2E-3</v>
      </c>
      <c r="H50" s="228">
        <v>2E-3</v>
      </c>
      <c r="I50" s="449">
        <v>7.0000000000000001E-3</v>
      </c>
      <c r="K50" s="454">
        <v>7.0000000000000001E-3</v>
      </c>
      <c r="L50" s="669">
        <v>7.0000000000000001E-3</v>
      </c>
      <c r="M50" s="666">
        <v>7.0000000000000001E-3</v>
      </c>
      <c r="N50" s="666">
        <v>7.0000000000000001E-3</v>
      </c>
      <c r="O50" s="666">
        <v>7.0000000000000001E-3</v>
      </c>
      <c r="P50" s="666">
        <v>7.0000000000000001E-3</v>
      </c>
    </row>
    <row r="51" spans="1:17">
      <c r="A51" s="194" t="s">
        <v>178</v>
      </c>
      <c r="B51" s="194"/>
      <c r="C51" s="227">
        <v>7.0000000000000001E-3</v>
      </c>
      <c r="D51" s="227">
        <v>7.0000000000000001E-3</v>
      </c>
      <c r="E51" s="227">
        <v>7.0000000000000001E-3</v>
      </c>
      <c r="F51" s="228">
        <v>7.0000000000000001E-3</v>
      </c>
      <c r="G51" s="449">
        <v>7.0000000000000001E-3</v>
      </c>
      <c r="H51" s="228">
        <v>7.0000000000000001E-3</v>
      </c>
      <c r="I51" s="449">
        <v>7.0000000000000001E-3</v>
      </c>
      <c r="J51" s="144" t="s">
        <v>473</v>
      </c>
      <c r="K51" s="454">
        <v>0</v>
      </c>
      <c r="L51" s="669">
        <v>0</v>
      </c>
      <c r="M51" s="666">
        <v>0</v>
      </c>
      <c r="N51" s="666">
        <v>0</v>
      </c>
      <c r="O51" s="666">
        <v>0</v>
      </c>
      <c r="P51" s="666">
        <v>0</v>
      </c>
      <c r="Q51" s="144" t="s">
        <v>527</v>
      </c>
    </row>
    <row r="52" spans="1:17">
      <c r="A52" s="194" t="s">
        <v>216</v>
      </c>
      <c r="B52" s="194"/>
      <c r="C52" s="229">
        <f t="shared" ref="C52:H52" si="22">+C49+C50+C51</f>
        <v>0.04</v>
      </c>
      <c r="D52" s="229">
        <f t="shared" si="22"/>
        <v>0.04</v>
      </c>
      <c r="E52" s="229">
        <f t="shared" si="22"/>
        <v>0.04</v>
      </c>
      <c r="F52" s="230">
        <f t="shared" si="22"/>
        <v>0.04</v>
      </c>
      <c r="G52" s="450">
        <f t="shared" si="22"/>
        <v>3.4000000000000002E-2</v>
      </c>
      <c r="H52" s="230">
        <f t="shared" si="22"/>
        <v>3.4000000000000002E-2</v>
      </c>
      <c r="I52" s="450">
        <f t="shared" ref="I52:P52" si="23">+I49+I50+I51</f>
        <v>2.8999999999999998E-2</v>
      </c>
      <c r="K52" s="455">
        <f t="shared" ref="K52" si="24">+K49+K50+K51</f>
        <v>2.1999999999999999E-2</v>
      </c>
      <c r="L52" s="670">
        <f t="shared" si="23"/>
        <v>2.1999999999999999E-2</v>
      </c>
      <c r="M52" s="667">
        <f t="shared" si="23"/>
        <v>2.1999999999999999E-2</v>
      </c>
      <c r="N52" s="667">
        <f t="shared" si="23"/>
        <v>2.1999999999999999E-2</v>
      </c>
      <c r="O52" s="667">
        <f t="shared" ref="O52" si="25">+O49+O50+O51</f>
        <v>2.1999999999999999E-2</v>
      </c>
      <c r="P52" s="667">
        <f t="shared" si="23"/>
        <v>2.1999999999999999E-2</v>
      </c>
    </row>
    <row r="53" spans="1:17">
      <c r="A53" s="194" t="s">
        <v>211</v>
      </c>
      <c r="B53" s="194"/>
      <c r="C53" s="162">
        <f t="shared" ref="C53:H53" si="26">+C25</f>
        <v>70938.030791666679</v>
      </c>
      <c r="D53" s="162">
        <f t="shared" si="26"/>
        <v>70938.030791666679</v>
      </c>
      <c r="E53" s="162">
        <f t="shared" si="26"/>
        <v>82650.440499999997</v>
      </c>
      <c r="F53" s="222">
        <f t="shared" si="26"/>
        <v>74022.293000000005</v>
      </c>
      <c r="G53" s="184">
        <f t="shared" si="26"/>
        <v>78301.380499999999</v>
      </c>
      <c r="H53" s="222">
        <f t="shared" si="26"/>
        <v>78301.380499999999</v>
      </c>
      <c r="I53" s="184">
        <f t="shared" ref="I53:P53" si="27">+I25</f>
        <v>80745</v>
      </c>
      <c r="K53" s="147">
        <f t="shared" ref="K53" si="28">+K25</f>
        <v>80210</v>
      </c>
      <c r="L53" s="636">
        <f t="shared" si="27"/>
        <v>85135</v>
      </c>
      <c r="M53" s="659">
        <f t="shared" si="27"/>
        <v>82286</v>
      </c>
      <c r="N53" s="659">
        <f t="shared" si="27"/>
        <v>81515</v>
      </c>
      <c r="O53" s="659">
        <f t="shared" ref="O53" si="29">+O25</f>
        <v>80745</v>
      </c>
      <c r="P53" s="659">
        <f t="shared" si="27"/>
        <v>83942</v>
      </c>
    </row>
    <row r="54" spans="1:17" ht="43.5" hidden="1">
      <c r="A54" s="231" t="s">
        <v>220</v>
      </c>
      <c r="B54" s="194"/>
      <c r="C54" s="162">
        <f>+C32</f>
        <v>7680.9138888888883</v>
      </c>
      <c r="D54" s="162">
        <f>+D32</f>
        <v>8015</v>
      </c>
      <c r="E54" s="232">
        <v>0</v>
      </c>
      <c r="F54" s="222">
        <f>+F32</f>
        <v>8014.8666666666659</v>
      </c>
      <c r="G54" s="441">
        <v>0</v>
      </c>
      <c r="H54" s="224">
        <v>0</v>
      </c>
      <c r="I54" s="441">
        <v>0</v>
      </c>
      <c r="K54" s="235">
        <v>0</v>
      </c>
      <c r="L54" s="671">
        <v>0</v>
      </c>
      <c r="M54" s="668">
        <v>0</v>
      </c>
      <c r="N54" s="668">
        <v>0</v>
      </c>
      <c r="O54" s="668">
        <v>0</v>
      </c>
      <c r="P54" s="668">
        <v>0</v>
      </c>
    </row>
    <row r="55" spans="1:17" ht="29" hidden="1">
      <c r="A55" s="231" t="s">
        <v>218</v>
      </c>
      <c r="B55" s="194"/>
      <c r="C55" s="162">
        <f>+C37*C20</f>
        <v>587.58991249999997</v>
      </c>
      <c r="D55" s="162">
        <f>+D37*D20</f>
        <v>613.14750000000004</v>
      </c>
      <c r="E55" s="162">
        <f>+E37*E20</f>
        <v>0</v>
      </c>
      <c r="F55" s="222">
        <f>+F37*F20</f>
        <v>613.13729999999998</v>
      </c>
      <c r="G55" s="184"/>
      <c r="H55" s="222"/>
      <c r="I55" s="184"/>
      <c r="K55" s="147"/>
      <c r="L55" s="636"/>
      <c r="M55" s="659"/>
      <c r="N55" s="659"/>
      <c r="O55" s="659"/>
      <c r="P55" s="659"/>
    </row>
    <row r="56" spans="1:17" hidden="1">
      <c r="A56" s="159" t="s">
        <v>217</v>
      </c>
      <c r="B56" s="159"/>
      <c r="C56" s="160">
        <f t="shared" ref="C56:H56" si="30">SUM(C53:C55)</f>
        <v>79206.534593055563</v>
      </c>
      <c r="D56" s="160">
        <f t="shared" si="30"/>
        <v>79566.178291666685</v>
      </c>
      <c r="E56" s="160">
        <f t="shared" si="30"/>
        <v>82650.440499999997</v>
      </c>
      <c r="F56" s="161">
        <f t="shared" si="30"/>
        <v>82650.296966666676</v>
      </c>
      <c r="G56" s="184">
        <f t="shared" si="30"/>
        <v>78301.380499999999</v>
      </c>
      <c r="H56" s="161">
        <f t="shared" si="30"/>
        <v>78301.380499999999</v>
      </c>
      <c r="I56" s="184">
        <f t="shared" ref="I56:P56" si="31">SUM(I53:I55)</f>
        <v>80745</v>
      </c>
      <c r="K56" s="147">
        <f t="shared" ref="K56" si="32">SUM(K53:K55)</f>
        <v>80210</v>
      </c>
      <c r="L56" s="636">
        <f t="shared" si="31"/>
        <v>85135</v>
      </c>
      <c r="M56" s="659">
        <f t="shared" si="31"/>
        <v>82286</v>
      </c>
      <c r="N56" s="659">
        <f t="shared" si="31"/>
        <v>81515</v>
      </c>
      <c r="O56" s="659">
        <f t="shared" ref="O56" si="33">SUM(O53:O55)</f>
        <v>80745</v>
      </c>
      <c r="P56" s="659">
        <f t="shared" si="31"/>
        <v>83942</v>
      </c>
    </row>
    <row r="57" spans="1:17">
      <c r="A57" s="165" t="s">
        <v>215</v>
      </c>
      <c r="B57" s="165"/>
      <c r="C57" s="166">
        <f>+C56*C52</f>
        <v>3168.2613837222225</v>
      </c>
      <c r="D57" s="166">
        <f>+D56*D52+1</f>
        <v>3183.6471316666675</v>
      </c>
      <c r="E57" s="166">
        <f>+E56*E52+1</f>
        <v>3307.0176200000001</v>
      </c>
      <c r="F57" s="167">
        <f>+F56*F52+1</f>
        <v>3307.0118786666671</v>
      </c>
      <c r="G57" s="213">
        <f>ROUND(+G56*G52,0)</f>
        <v>2662</v>
      </c>
      <c r="H57" s="167">
        <f>+H56*H52</f>
        <v>2662.2469370000003</v>
      </c>
      <c r="I57" s="213">
        <f>ROUND(+I56*I52,0)</f>
        <v>2342</v>
      </c>
      <c r="K57" s="155">
        <f>ROUND(+K56*K52,0)</f>
        <v>1765</v>
      </c>
      <c r="L57" s="647">
        <f t="shared" ref="L57:P57" si="34">ROUND(+L56*L52,0)</f>
        <v>1873</v>
      </c>
      <c r="M57" s="657">
        <f t="shared" si="34"/>
        <v>1810</v>
      </c>
      <c r="N57" s="657">
        <f t="shared" si="34"/>
        <v>1793</v>
      </c>
      <c r="O57" s="657">
        <f>ROUND(+O56*O52,0)</f>
        <v>1776</v>
      </c>
      <c r="P57" s="657">
        <f t="shared" si="34"/>
        <v>1847</v>
      </c>
    </row>
    <row r="58" spans="1:17">
      <c r="D58" s="151"/>
      <c r="E58" s="151"/>
      <c r="G58" s="214"/>
      <c r="I58" s="214"/>
    </row>
    <row r="59" spans="1:17">
      <c r="A59" s="156" t="s">
        <v>107</v>
      </c>
      <c r="B59" s="157"/>
      <c r="C59" s="168"/>
      <c r="D59" s="168"/>
      <c r="E59" s="168"/>
      <c r="F59" s="169"/>
      <c r="G59" s="440"/>
      <c r="H59" s="168"/>
      <c r="I59" s="440"/>
      <c r="K59" s="234"/>
      <c r="L59" s="672"/>
      <c r="M59" s="672"/>
      <c r="N59" s="672"/>
      <c r="O59" s="672"/>
      <c r="P59" s="672"/>
    </row>
    <row r="60" spans="1:17">
      <c r="A60" s="159" t="s">
        <v>222</v>
      </c>
      <c r="B60" s="159"/>
      <c r="C60" s="163">
        <v>1500</v>
      </c>
      <c r="D60" s="163">
        <v>1500</v>
      </c>
      <c r="E60" s="163">
        <v>1500</v>
      </c>
      <c r="F60" s="164">
        <v>1500</v>
      </c>
      <c r="G60" s="441">
        <v>1500</v>
      </c>
      <c r="H60" s="163">
        <v>1500</v>
      </c>
      <c r="I60" s="441">
        <v>1500</v>
      </c>
      <c r="K60" s="235">
        <v>1500</v>
      </c>
      <c r="L60" s="671">
        <v>1500</v>
      </c>
      <c r="M60" s="671">
        <v>1500</v>
      </c>
      <c r="N60" s="671">
        <v>1500</v>
      </c>
      <c r="O60" s="671">
        <v>1500</v>
      </c>
      <c r="P60" s="671">
        <v>1500</v>
      </c>
    </row>
    <row r="61" spans="1:17">
      <c r="A61" s="159" t="s">
        <v>223</v>
      </c>
      <c r="B61" s="159"/>
      <c r="C61" s="163">
        <v>1000</v>
      </c>
      <c r="D61" s="163">
        <v>1000</v>
      </c>
      <c r="E61" s="163">
        <v>1000</v>
      </c>
      <c r="F61" s="164">
        <v>1000</v>
      </c>
      <c r="G61" s="441">
        <v>1000</v>
      </c>
      <c r="H61" s="163">
        <v>700</v>
      </c>
      <c r="I61" s="441">
        <v>1000</v>
      </c>
      <c r="K61" s="235">
        <v>1000</v>
      </c>
      <c r="L61" s="671">
        <v>1000</v>
      </c>
      <c r="M61" s="671">
        <v>1000</v>
      </c>
      <c r="N61" s="671">
        <v>1000</v>
      </c>
      <c r="O61" s="671">
        <v>1000</v>
      </c>
      <c r="P61" s="671">
        <v>1000</v>
      </c>
    </row>
    <row r="62" spans="1:17">
      <c r="A62" s="159" t="s">
        <v>107</v>
      </c>
      <c r="B62" s="159"/>
      <c r="C62" s="163">
        <v>600</v>
      </c>
      <c r="D62" s="163">
        <v>600</v>
      </c>
      <c r="E62" s="163">
        <v>600</v>
      </c>
      <c r="F62" s="164">
        <v>600</v>
      </c>
      <c r="G62" s="441">
        <v>600</v>
      </c>
      <c r="H62" s="163">
        <v>600</v>
      </c>
      <c r="I62" s="441">
        <v>600</v>
      </c>
      <c r="K62" s="235">
        <v>600</v>
      </c>
      <c r="L62" s="671">
        <v>600</v>
      </c>
      <c r="M62" s="671">
        <v>600</v>
      </c>
      <c r="N62" s="671">
        <v>600</v>
      </c>
      <c r="O62" s="671">
        <v>600</v>
      </c>
      <c r="P62" s="671">
        <v>600</v>
      </c>
    </row>
    <row r="63" spans="1:17">
      <c r="A63" s="194" t="s">
        <v>238</v>
      </c>
      <c r="B63" s="194"/>
      <c r="C63" s="195"/>
      <c r="D63" s="195"/>
      <c r="E63" s="195"/>
      <c r="F63" s="196"/>
      <c r="G63" s="441">
        <f>40*12</f>
        <v>480</v>
      </c>
      <c r="H63" s="700">
        <f>25*12</f>
        <v>300</v>
      </c>
      <c r="I63" s="441">
        <f>ROUND(40*12,0)</f>
        <v>480</v>
      </c>
      <c r="K63" s="235">
        <f>ROUND(40*12,0)</f>
        <v>480</v>
      </c>
      <c r="L63" s="671">
        <f t="shared" ref="L63:P63" si="35">ROUND(40*12,0)</f>
        <v>480</v>
      </c>
      <c r="M63" s="671">
        <f t="shared" si="35"/>
        <v>480</v>
      </c>
      <c r="N63" s="671">
        <f t="shared" si="35"/>
        <v>480</v>
      </c>
      <c r="O63" s="671">
        <f>ROUND(40*12,0)</f>
        <v>480</v>
      </c>
      <c r="P63" s="671">
        <f t="shared" si="35"/>
        <v>480</v>
      </c>
    </row>
    <row r="64" spans="1:17">
      <c r="A64" s="170" t="s">
        <v>225</v>
      </c>
      <c r="B64" s="170"/>
      <c r="C64" s="171">
        <f t="shared" ref="C64:H64" si="36">+SUM(C60:C63)</f>
        <v>3100</v>
      </c>
      <c r="D64" s="171">
        <f t="shared" si="36"/>
        <v>3100</v>
      </c>
      <c r="E64" s="171">
        <f t="shared" si="36"/>
        <v>3100</v>
      </c>
      <c r="F64" s="172">
        <f t="shared" si="36"/>
        <v>3100</v>
      </c>
      <c r="G64" s="442">
        <f t="shared" si="36"/>
        <v>3580</v>
      </c>
      <c r="H64" s="171">
        <f t="shared" si="36"/>
        <v>3100</v>
      </c>
      <c r="I64" s="442">
        <f t="shared" ref="I64:P64" si="37">+SUM(I60:I63)</f>
        <v>3580</v>
      </c>
      <c r="K64" s="236">
        <f t="shared" ref="K64" si="38">+SUM(K60:K63)</f>
        <v>3580</v>
      </c>
      <c r="L64" s="673">
        <f t="shared" si="37"/>
        <v>3580</v>
      </c>
      <c r="M64" s="673">
        <f t="shared" si="37"/>
        <v>3580</v>
      </c>
      <c r="N64" s="673">
        <f t="shared" si="37"/>
        <v>3580</v>
      </c>
      <c r="O64" s="673">
        <f t="shared" ref="O64" si="39">+SUM(O60:O63)</f>
        <v>3580</v>
      </c>
      <c r="P64" s="673">
        <f t="shared" si="37"/>
        <v>3580</v>
      </c>
    </row>
    <row r="65" spans="1:16">
      <c r="G65" s="214"/>
      <c r="I65" s="195"/>
    </row>
    <row r="66" spans="1:16">
      <c r="A66" s="444" t="s">
        <v>224</v>
      </c>
      <c r="B66" s="173"/>
      <c r="C66" s="174">
        <f t="shared" ref="C66:I66" si="40">+C25+C43+C57+C64</f>
        <v>92690.389451361116</v>
      </c>
      <c r="D66" s="174">
        <f t="shared" si="40"/>
        <v>93988.957535416688</v>
      </c>
      <c r="E66" s="174">
        <f t="shared" si="40"/>
        <v>98149.006574999992</v>
      </c>
      <c r="F66" s="175">
        <f t="shared" si="40"/>
        <v>96586.623775333341</v>
      </c>
      <c r="G66" s="443">
        <f t="shared" si="40"/>
        <v>100653.3805</v>
      </c>
      <c r="H66" s="174">
        <f t="shared" si="40"/>
        <v>97766.627437000003</v>
      </c>
      <c r="I66" s="443">
        <f t="shared" si="40"/>
        <v>100670</v>
      </c>
      <c r="J66" s="151"/>
      <c r="K66" s="176">
        <f t="shared" ref="K66" si="41">+K25+K43+K57+K64</f>
        <v>102099</v>
      </c>
      <c r="L66" s="674">
        <f t="shared" ref="L66:P66" si="42">+L25+L43+L57+L64</f>
        <v>105074</v>
      </c>
      <c r="M66" s="674">
        <f t="shared" si="42"/>
        <v>101848</v>
      </c>
      <c r="N66" s="674">
        <f t="shared" si="42"/>
        <v>100976</v>
      </c>
      <c r="O66" s="674">
        <f t="shared" si="42"/>
        <v>100104</v>
      </c>
      <c r="P66" s="674">
        <f t="shared" si="42"/>
        <v>103724</v>
      </c>
    </row>
    <row r="67" spans="1:16">
      <c r="A67" s="239" t="s">
        <v>332</v>
      </c>
      <c r="B67" s="239"/>
      <c r="C67" s="225"/>
      <c r="D67" s="225"/>
      <c r="E67" s="225"/>
      <c r="F67" s="225"/>
      <c r="G67" s="225"/>
      <c r="H67" s="225"/>
      <c r="I67" s="225">
        <f>+I66-G66</f>
        <v>16.619500000000698</v>
      </c>
      <c r="K67" s="225">
        <f>+K66-I66</f>
        <v>1429</v>
      </c>
      <c r="L67" s="225">
        <f>+L66-O66</f>
        <v>4970</v>
      </c>
      <c r="M67" s="225">
        <f>+M66-O66</f>
        <v>1744</v>
      </c>
      <c r="N67" s="225">
        <f>+N66-O66</f>
        <v>872</v>
      </c>
      <c r="O67" s="225"/>
      <c r="P67" s="225">
        <f>+P66-O66</f>
        <v>3620</v>
      </c>
    </row>
    <row r="68" spans="1:16">
      <c r="A68" s="239"/>
      <c r="B68" s="239"/>
      <c r="C68" s="225"/>
      <c r="D68" s="225"/>
      <c r="E68" s="225"/>
      <c r="F68" s="225"/>
      <c r="G68" s="225"/>
      <c r="H68" s="225"/>
      <c r="I68" s="433">
        <f>+I67/G66</f>
        <v>1.6511616318739237E-4</v>
      </c>
      <c r="J68" s="46"/>
      <c r="K68" s="676">
        <f>+K67/I66</f>
        <v>1.4194894208801033E-2</v>
      </c>
      <c r="L68" s="676">
        <f>+L67/O66</f>
        <v>4.9648365699672341E-2</v>
      </c>
      <c r="M68" s="676">
        <f>+M67/O66</f>
        <v>1.7421881243506753E-2</v>
      </c>
      <c r="N68" s="676">
        <f>+N67/O66</f>
        <v>8.7109406217533766E-3</v>
      </c>
      <c r="O68" s="433"/>
      <c r="P68" s="676">
        <f>+P67/O66</f>
        <v>3.616239111324223E-2</v>
      </c>
    </row>
    <row r="69" spans="1:16" hidden="1">
      <c r="A69" s="159"/>
      <c r="B69" s="328"/>
      <c r="C69" s="328" t="s">
        <v>227</v>
      </c>
      <c r="D69" s="328"/>
      <c r="E69" s="328"/>
      <c r="F69" s="328"/>
      <c r="G69" s="328"/>
      <c r="H69" s="432"/>
    </row>
    <row r="70" spans="1:16" hidden="1">
      <c r="A70" s="499" t="s">
        <v>228</v>
      </c>
      <c r="B70" s="238"/>
      <c r="C70" s="154">
        <f>+C66-C23</f>
        <v>87649.275326361123</v>
      </c>
      <c r="D70" s="154">
        <f>+D66-D23</f>
        <v>88947.843410416681</v>
      </c>
      <c r="E70" s="154">
        <f>+E66-E23</f>
        <v>92275.566074999995</v>
      </c>
      <c r="F70" s="154">
        <f>+F66-F23</f>
        <v>91326.330775333336</v>
      </c>
      <c r="G70" s="328"/>
      <c r="H70" s="432"/>
    </row>
    <row r="71" spans="1:16" hidden="1">
      <c r="G71" s="237"/>
      <c r="I71" s="237"/>
      <c r="K71" s="237"/>
      <c r="L71" s="237"/>
      <c r="M71" s="237"/>
      <c r="N71" s="237"/>
      <c r="O71" s="237"/>
      <c r="P71" s="237"/>
    </row>
  </sheetData>
  <mergeCells count="4">
    <mergeCell ref="A14:A16"/>
    <mergeCell ref="B2:F2"/>
    <mergeCell ref="J30:J35"/>
    <mergeCell ref="L1:P1"/>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7" max="16383" man="1"/>
  </rowBreaks>
  <legacyDrawing r:id="rId2"/>
</worksheet>
</file>

<file path=xl/worksheets/sheet9.xml><?xml version="1.0" encoding="utf-8"?>
<worksheet xmlns="http://schemas.openxmlformats.org/spreadsheetml/2006/main" xmlns:r="http://schemas.openxmlformats.org/officeDocument/2006/relationships">
  <dimension ref="B2:G16"/>
  <sheetViews>
    <sheetView workbookViewId="0">
      <selection activeCell="F9" sqref="F9"/>
    </sheetView>
  </sheetViews>
  <sheetFormatPr defaultRowHeight="14.5"/>
  <cols>
    <col min="2" max="2" width="23.08984375" customWidth="1"/>
    <col min="3" max="5" width="11.54296875" customWidth="1"/>
    <col min="6" max="6" width="18.08984375" customWidth="1"/>
    <col min="7" max="7" width="12.6328125" customWidth="1"/>
  </cols>
  <sheetData>
    <row r="2" spans="2:7">
      <c r="B2" t="s">
        <v>455</v>
      </c>
    </row>
    <row r="3" spans="2:7" ht="58">
      <c r="C3" s="624" t="s">
        <v>465</v>
      </c>
      <c r="D3" s="624" t="s">
        <v>466</v>
      </c>
      <c r="E3" s="624"/>
      <c r="F3" s="625" t="s">
        <v>464</v>
      </c>
      <c r="G3" s="624" t="s">
        <v>462</v>
      </c>
    </row>
    <row r="4" spans="2:7">
      <c r="B4">
        <v>2018</v>
      </c>
      <c r="C4" s="626">
        <f>52894+15868</f>
        <v>68762</v>
      </c>
      <c r="D4" s="626">
        <f>52894+15868</f>
        <v>68762</v>
      </c>
      <c r="E4" s="626" t="s">
        <v>458</v>
      </c>
      <c r="F4" s="630">
        <f>52894+15868</f>
        <v>68762</v>
      </c>
      <c r="G4" s="627">
        <f>+F4-D4</f>
        <v>0</v>
      </c>
    </row>
    <row r="6" spans="2:7">
      <c r="B6" t="s">
        <v>456</v>
      </c>
      <c r="C6" s="627">
        <f>+ROUND(C4*(1+0.02),2)</f>
        <v>70137.240000000005</v>
      </c>
      <c r="D6" s="629">
        <v>71240</v>
      </c>
      <c r="E6" s="629" t="s">
        <v>459</v>
      </c>
      <c r="F6" s="630">
        <v>70137</v>
      </c>
      <c r="G6" s="627">
        <f>+F6-D6</f>
        <v>-1103</v>
      </c>
    </row>
    <row r="7" spans="2:7">
      <c r="C7" s="628">
        <f>(+C6-C4)/C4</f>
        <v>2.0000000000000077E-2</v>
      </c>
      <c r="D7" s="628">
        <f>(+D6-D4)/D4</f>
        <v>3.6037346208661759E-2</v>
      </c>
      <c r="E7" s="628"/>
    </row>
    <row r="8" spans="2:7">
      <c r="C8" s="628"/>
      <c r="D8" s="628"/>
      <c r="E8" s="628"/>
    </row>
    <row r="9" spans="2:7">
      <c r="B9" t="s">
        <v>457</v>
      </c>
      <c r="C9" s="627">
        <f>+ROUND(C6*(1+0.02),2)</f>
        <v>71539.98</v>
      </c>
      <c r="D9" s="629">
        <v>73783</v>
      </c>
      <c r="E9" s="629" t="s">
        <v>460</v>
      </c>
      <c r="F9" s="630">
        <v>71540</v>
      </c>
      <c r="G9" s="627">
        <f>+F9-D9</f>
        <v>-2243</v>
      </c>
    </row>
    <row r="10" spans="2:7">
      <c r="C10" s="628">
        <f>(+C9-C6)/C6</f>
        <v>1.9999931562747417E-2</v>
      </c>
      <c r="D10" s="628">
        <f>(+D9-D6)/D6</f>
        <v>3.5696238068500842E-2</v>
      </c>
      <c r="E10" s="628"/>
    </row>
    <row r="11" spans="2:7">
      <c r="C11" s="627"/>
      <c r="D11" s="627"/>
      <c r="E11" s="627"/>
    </row>
    <row r="12" spans="2:7">
      <c r="B12" t="s">
        <v>463</v>
      </c>
      <c r="C12" s="627">
        <f>+ROUND(C9*(1+0.01),2)</f>
        <v>72255.38</v>
      </c>
      <c r="D12" s="629">
        <v>75618</v>
      </c>
      <c r="E12" s="629" t="s">
        <v>461</v>
      </c>
      <c r="F12" s="631">
        <f>+F9*(1+0.01)</f>
        <v>72255.399999999994</v>
      </c>
      <c r="G12" s="631">
        <f>+D12-F9</f>
        <v>4078</v>
      </c>
    </row>
    <row r="13" spans="2:7">
      <c r="C13" s="628">
        <f>(+C12-C9)/C9</f>
        <v>1.0000002795639708E-2</v>
      </c>
      <c r="D13" s="628">
        <f>(+D12-D9)/D9</f>
        <v>2.4870227559193853E-2</v>
      </c>
      <c r="E13" s="628"/>
      <c r="F13" s="628">
        <f>(+F12-F9)/F9</f>
        <v>9.9999999999999187E-3</v>
      </c>
      <c r="G13" s="628">
        <f>+G12/F9</f>
        <v>5.7003075202683814E-2</v>
      </c>
    </row>
    <row r="16" spans="2:7">
      <c r="F16" s="632">
        <f>2000/F9</f>
        <v>2.7956388034665922E-2</v>
      </c>
    </row>
  </sheetData>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13</vt:i4>
      </vt:variant>
      <vt:variant>
        <vt:lpstr>Charts</vt:lpstr>
      </vt:variant>
      <vt:variant>
        <vt:i4>1</vt:i4>
      </vt:variant>
      <vt:variant>
        <vt:lpstr>Named Ranges</vt:lpstr>
      </vt:variant>
      <vt:variant>
        <vt:i4>4</vt:i4>
      </vt:variant>
    </vt:vector>
  </HeadingPairs>
  <TitlesOfParts>
    <vt:vector size="18" baseType="lpstr">
      <vt:lpstr>Benevolence (2)</vt:lpstr>
      <vt:lpstr>Top Sheet</vt:lpstr>
      <vt:lpstr>Dec Council Meeting</vt:lpstr>
      <vt:lpstr>Summary New Year</vt:lpstr>
      <vt:lpstr>New Year-Full Year</vt:lpstr>
      <vt:lpstr>Options</vt:lpstr>
      <vt:lpstr>Benevolence</vt:lpstr>
      <vt:lpstr>Pastor</vt:lpstr>
      <vt:lpstr>Comparison</vt:lpstr>
      <vt:lpstr>Assoc. Pastor</vt:lpstr>
      <vt:lpstr>Band and Other Music</vt:lpstr>
      <vt:lpstr>Rates</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2020-12-28T18:30:59Z</cp:lastPrinted>
  <dcterms:created xsi:type="dcterms:W3CDTF">2011-12-01T18:07:46Z</dcterms:created>
  <dcterms:modified xsi:type="dcterms:W3CDTF">2020-12-28T19:15:15Z</dcterms:modified>
</cp:coreProperties>
</file>